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8955" yWindow="0" windowWidth="35145" windowHeight="17430" tabRatio="581"/>
  </bookViews>
  <sheets>
    <sheet name="Teacher Summary Sheet" sheetId="1" r:id="rId1"/>
    <sheet name="Candidate Personal Info (VEF2)" sheetId="4" r:id="rId2"/>
    <sheet name="data" sheetId="2" state="hidden" r:id="rId3"/>
  </sheets>
  <definedNames>
    <definedName name="address">data!$B$84:$B$88</definedName>
    <definedName name="body">data!$Q$2:$Q$2</definedName>
    <definedName name="class">data!$R$2:$R$5</definedName>
    <definedName name="codes">data!$B$45:$B$45</definedName>
    <definedName name="continuation">data!$B$120:$B$122</definedName>
    <definedName name="CrCard">data!$B$138:$B$140</definedName>
    <definedName name="Date">data!$U$2:$U$32</definedName>
    <definedName name="ExpMth">data!$C$143:$C$154</definedName>
    <definedName name="ExpYr">data!$B$143:$B$155</definedName>
    <definedName name="gender">data!$B$48:$B$49</definedName>
    <definedName name="Height">data!$W$2:$W$42</definedName>
    <definedName name="level">data!#REF!</definedName>
    <definedName name="level2">data!$O$6:$O$6</definedName>
    <definedName name="location">data!#REF!</definedName>
    <definedName name="member">data!#REF!</definedName>
    <definedName name="Month">data!$T$2:$T$13</definedName>
    <definedName name="Province">data!$B$125:$B$134</definedName>
    <definedName name="Title">data!$B$113:$B$117</definedName>
    <definedName name="Venue">data!$B$91:$B$94</definedName>
    <definedName name="Year">data!$V$2:$V$47</definedName>
    <definedName name="YesNo">data!$AA$2:$AA$3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54" i="1" l="1"/>
  <c r="W54" i="1"/>
  <c r="Q29" i="1"/>
  <c r="W29" i="1"/>
  <c r="W56" i="1"/>
  <c r="Q56" i="1"/>
  <c r="U4" i="1" l="1"/>
  <c r="M19" i="1"/>
  <c r="M20" i="1"/>
  <c r="M21" i="1"/>
  <c r="M22" i="1"/>
  <c r="M23" i="1"/>
  <c r="M24" i="1"/>
  <c r="M25" i="1"/>
  <c r="M26" i="1"/>
  <c r="M27" i="1"/>
  <c r="M28" i="1"/>
  <c r="M34" i="1"/>
  <c r="M35" i="1"/>
  <c r="M36" i="1"/>
  <c r="M37" i="1"/>
  <c r="M38" i="1"/>
  <c r="M39" i="1"/>
  <c r="M40" i="1"/>
  <c r="M41" i="1"/>
  <c r="M42" i="1"/>
  <c r="M43" i="1"/>
  <c r="M44" i="1"/>
  <c r="M45" i="1"/>
  <c r="M46" i="1"/>
  <c r="M47" i="1"/>
  <c r="M48" i="1"/>
  <c r="M49" i="1"/>
  <c r="M50" i="1"/>
  <c r="M51" i="1"/>
  <c r="M52" i="1"/>
  <c r="M53" i="1"/>
  <c r="W19" i="1"/>
  <c r="W20" i="1"/>
  <c r="W21" i="1"/>
  <c r="W22" i="1"/>
  <c r="W23" i="1"/>
  <c r="W24" i="1"/>
  <c r="W25" i="1"/>
  <c r="W26" i="1"/>
  <c r="W27" i="1"/>
  <c r="W28" i="1"/>
  <c r="R29" i="1"/>
  <c r="W34" i="1"/>
  <c r="W35" i="1"/>
  <c r="W36" i="1"/>
  <c r="W37" i="1"/>
  <c r="W38" i="1"/>
  <c r="W39" i="1"/>
  <c r="W40" i="1"/>
  <c r="W41" i="1"/>
  <c r="W42" i="1"/>
  <c r="W43" i="1"/>
  <c r="W44" i="1"/>
  <c r="W45" i="1"/>
  <c r="W46" i="1"/>
  <c r="W47" i="1"/>
  <c r="W48" i="1"/>
  <c r="W49" i="1"/>
  <c r="W50" i="1"/>
  <c r="W51" i="1"/>
  <c r="W52" i="1"/>
  <c r="W53" i="1"/>
  <c r="R54" i="1"/>
  <c r="M84" i="1"/>
  <c r="W84" i="1"/>
  <c r="M85" i="1"/>
  <c r="W85" i="1"/>
  <c r="M86" i="1"/>
  <c r="W86" i="1"/>
  <c r="M87" i="1"/>
  <c r="W87" i="1"/>
  <c r="M88" i="1"/>
  <c r="W88" i="1"/>
  <c r="M89" i="1"/>
  <c r="W89" i="1"/>
  <c r="M90" i="1"/>
  <c r="W90" i="1"/>
  <c r="M91" i="1"/>
  <c r="W91" i="1"/>
  <c r="M92" i="1"/>
  <c r="W92" i="1"/>
  <c r="M93" i="1"/>
  <c r="W93" i="1"/>
  <c r="R94" i="1"/>
  <c r="M99" i="1"/>
  <c r="W99" i="1"/>
  <c r="M100" i="1"/>
  <c r="W100" i="1"/>
  <c r="M101" i="1"/>
  <c r="W101" i="1"/>
  <c r="M102" i="1"/>
  <c r="W102" i="1"/>
  <c r="M103" i="1"/>
  <c r="W103" i="1"/>
  <c r="M104" i="1"/>
  <c r="W104" i="1"/>
  <c r="M105" i="1"/>
  <c r="W105" i="1"/>
  <c r="M106" i="1"/>
  <c r="W106" i="1"/>
  <c r="M107" i="1"/>
  <c r="W107" i="1"/>
  <c r="M108" i="1"/>
  <c r="W108" i="1"/>
  <c r="M109" i="1"/>
  <c r="W109" i="1"/>
  <c r="M110" i="1"/>
  <c r="W110" i="1"/>
  <c r="M111" i="1"/>
  <c r="W111" i="1"/>
  <c r="M112" i="1"/>
  <c r="W112" i="1"/>
  <c r="M113" i="1"/>
  <c r="W113" i="1"/>
  <c r="M114" i="1"/>
  <c r="W114" i="1"/>
  <c r="M115" i="1"/>
  <c r="W115" i="1"/>
  <c r="M116" i="1"/>
  <c r="W116" i="1"/>
  <c r="M117" i="1"/>
  <c r="W117" i="1"/>
  <c r="M118" i="1"/>
  <c r="W118" i="1"/>
  <c r="R119" i="1"/>
  <c r="M147" i="1"/>
  <c r="W147" i="1"/>
  <c r="M148" i="1"/>
  <c r="W148" i="1"/>
  <c r="M149" i="1"/>
  <c r="W149" i="1"/>
  <c r="M150" i="1"/>
  <c r="W150" i="1"/>
  <c r="M151" i="1"/>
  <c r="W151" i="1"/>
  <c r="M152" i="1"/>
  <c r="W152" i="1"/>
  <c r="M153" i="1"/>
  <c r="W153" i="1"/>
  <c r="M154" i="1"/>
  <c r="W154" i="1"/>
  <c r="M155" i="1"/>
  <c r="W155" i="1"/>
  <c r="M156" i="1"/>
  <c r="W156" i="1"/>
  <c r="R157" i="1"/>
  <c r="M162" i="1"/>
  <c r="W162" i="1"/>
  <c r="M163" i="1"/>
  <c r="W163" i="1"/>
  <c r="M164" i="1"/>
  <c r="W164" i="1"/>
  <c r="M165" i="1"/>
  <c r="W165" i="1"/>
  <c r="M166" i="1"/>
  <c r="W166" i="1"/>
  <c r="M167" i="1"/>
  <c r="W167" i="1"/>
  <c r="M168" i="1"/>
  <c r="W168" i="1"/>
  <c r="M169" i="1"/>
  <c r="W169" i="1"/>
  <c r="M170" i="1"/>
  <c r="W170" i="1"/>
  <c r="M171" i="1"/>
  <c r="W171" i="1"/>
  <c r="M172" i="1"/>
  <c r="W172" i="1"/>
  <c r="M173" i="1"/>
  <c r="W173" i="1"/>
  <c r="M174" i="1"/>
  <c r="W174" i="1"/>
  <c r="M175" i="1"/>
  <c r="W175" i="1"/>
  <c r="M176" i="1"/>
  <c r="W176" i="1"/>
  <c r="M177" i="1"/>
  <c r="W177" i="1"/>
  <c r="M178" i="1"/>
  <c r="W178" i="1"/>
  <c r="M179" i="1"/>
  <c r="W179" i="1"/>
  <c r="M180" i="1"/>
  <c r="W180" i="1"/>
  <c r="M181" i="1"/>
  <c r="W181" i="1"/>
  <c r="R182" i="1"/>
  <c r="C33" i="4"/>
  <c r="C34" i="4"/>
  <c r="C68" i="4"/>
  <c r="C69" i="4"/>
  <c r="C103" i="4"/>
  <c r="C104" i="4"/>
  <c r="C138" i="4"/>
  <c r="C139" i="4"/>
  <c r="C173" i="4"/>
  <c r="C174" i="4"/>
  <c r="C208" i="4"/>
  <c r="C209" i="4"/>
  <c r="C243" i="4"/>
  <c r="C244" i="4"/>
  <c r="C278" i="4"/>
  <c r="C279" i="4"/>
  <c r="C313" i="4"/>
  <c r="C314" i="4"/>
  <c r="C348" i="4"/>
  <c r="C349" i="4"/>
  <c r="C383" i="4"/>
  <c r="C384" i="4"/>
  <c r="C418" i="4"/>
  <c r="C419" i="4"/>
  <c r="C453" i="4"/>
  <c r="C454" i="4"/>
  <c r="C488" i="4"/>
  <c r="C489" i="4"/>
  <c r="C523" i="4"/>
  <c r="C524" i="4"/>
  <c r="C558" i="4"/>
  <c r="C559" i="4"/>
  <c r="C593" i="4"/>
  <c r="C594" i="4"/>
  <c r="C628" i="4"/>
  <c r="C629" i="4"/>
  <c r="C663" i="4"/>
  <c r="C664" i="4"/>
  <c r="C698" i="4"/>
  <c r="C699" i="4"/>
  <c r="C733" i="4"/>
  <c r="C734" i="4"/>
  <c r="C768" i="4"/>
  <c r="C769" i="4"/>
  <c r="C803" i="4"/>
  <c r="C804" i="4"/>
  <c r="C838" i="4"/>
  <c r="C839" i="4"/>
  <c r="C873" i="4"/>
  <c r="C874" i="4"/>
  <c r="C908" i="4"/>
  <c r="C909" i="4"/>
  <c r="C943" i="4"/>
  <c r="C944" i="4"/>
  <c r="C978" i="4"/>
  <c r="C979" i="4"/>
  <c r="C1013" i="4"/>
  <c r="C1014" i="4"/>
  <c r="C1048" i="4"/>
  <c r="C1049" i="4"/>
  <c r="C1083" i="4"/>
  <c r="C1084" i="4"/>
  <c r="C1118" i="4"/>
  <c r="C1119" i="4"/>
  <c r="C1153" i="4"/>
  <c r="C1154" i="4"/>
  <c r="C1188" i="4"/>
  <c r="C1189" i="4"/>
  <c r="C1223" i="4"/>
  <c r="C1224" i="4"/>
  <c r="C1258" i="4"/>
  <c r="C1259" i="4"/>
  <c r="C1293" i="4"/>
  <c r="C1294" i="4"/>
  <c r="C1328" i="4"/>
  <c r="C1329" i="4"/>
  <c r="C1363" i="4"/>
  <c r="C1364" i="4"/>
  <c r="C1398" i="4"/>
  <c r="C1399" i="4"/>
  <c r="C1433" i="4"/>
  <c r="C1434" i="4"/>
  <c r="C1468" i="4"/>
  <c r="C1469" i="4"/>
  <c r="C1503" i="4"/>
  <c r="C1504" i="4"/>
  <c r="C1538" i="4"/>
  <c r="C1539" i="4"/>
  <c r="C1573" i="4"/>
  <c r="C1574" i="4"/>
  <c r="C1608" i="4"/>
  <c r="C1609" i="4"/>
  <c r="C1643" i="4"/>
  <c r="C1644" i="4"/>
  <c r="C1678" i="4"/>
  <c r="C1679" i="4"/>
  <c r="C1713" i="4"/>
  <c r="C1714" i="4"/>
  <c r="C1748" i="4"/>
  <c r="C1749" i="4"/>
  <c r="C1783" i="4"/>
  <c r="C1784" i="4"/>
  <c r="C1818" i="4"/>
  <c r="C1819" i="4"/>
  <c r="C1853" i="4"/>
  <c r="C1854" i="4"/>
  <c r="C1888" i="4"/>
  <c r="C1889" i="4"/>
  <c r="C1923" i="4"/>
  <c r="C1924" i="4"/>
  <c r="C1958" i="4"/>
  <c r="C1959" i="4"/>
  <c r="C1993" i="4"/>
  <c r="C1994" i="4"/>
  <c r="C2028" i="4"/>
  <c r="C2029" i="4"/>
  <c r="C2063" i="4"/>
  <c r="C2064" i="4"/>
  <c r="C2098" i="4"/>
  <c r="C2099" i="4"/>
  <c r="Y2" i="2"/>
  <c r="Z2" i="2"/>
  <c r="X3" i="2"/>
  <c r="Y3" i="2"/>
  <c r="Z3" i="2" s="1"/>
  <c r="AI3" i="2"/>
  <c r="AJ3" i="2"/>
  <c r="X4" i="2"/>
  <c r="AB4" i="2"/>
  <c r="AB5" i="2" s="1"/>
  <c r="V8" i="2"/>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V45" i="2" s="1"/>
  <c r="V46" i="2" s="1"/>
  <c r="V47" i="2" s="1"/>
  <c r="AB6" i="2"/>
  <c r="AB7" i="2" s="1"/>
  <c r="AB8" i="2" s="1"/>
  <c r="AB9" i="2" s="1"/>
  <c r="AB10" i="2" s="1"/>
  <c r="AB11" i="2" s="1"/>
  <c r="AB12" i="2" s="1"/>
  <c r="AB13" i="2" s="1"/>
  <c r="AB14" i="2" s="1"/>
  <c r="AB15" i="2" s="1"/>
  <c r="AB16" i="2" s="1"/>
  <c r="AB17" i="2" s="1"/>
  <c r="AB18" i="2" s="1"/>
  <c r="AB19" i="2" s="1"/>
  <c r="AB20" i="2" s="1"/>
  <c r="AB21" i="2" s="1"/>
  <c r="AB22" i="2" s="1"/>
  <c r="AB23" i="2" s="1"/>
  <c r="AB24" i="2" s="1"/>
  <c r="AB25" i="2" s="1"/>
  <c r="AB26" i="2" s="1"/>
  <c r="AB27" i="2" s="1"/>
  <c r="AB28" i="2" s="1"/>
  <c r="AB29" i="2" s="1"/>
  <c r="AB30" i="2" s="1"/>
  <c r="AB31" i="2" s="1"/>
  <c r="AB32" i="2" s="1"/>
  <c r="AB33" i="2" s="1"/>
  <c r="AB34" i="2" s="1"/>
  <c r="AB35" i="2" s="1"/>
  <c r="AB36" i="2" s="1"/>
  <c r="AB37" i="2" s="1"/>
  <c r="AB38" i="2" s="1"/>
  <c r="AB39" i="2" s="1"/>
  <c r="AB40" i="2" s="1"/>
  <c r="AB41" i="2" s="1"/>
  <c r="AB42" i="2" s="1"/>
  <c r="AB43" i="2" s="1"/>
  <c r="AB44" i="2" s="1"/>
  <c r="AB45" i="2" s="1"/>
  <c r="AB46" i="2" s="1"/>
  <c r="AB47" i="2" s="1"/>
  <c r="AB48" i="2" s="1"/>
  <c r="AB49" i="2" s="1"/>
  <c r="AB50" i="2" s="1"/>
  <c r="AB51" i="2" s="1"/>
  <c r="AB52" i="2" s="1"/>
  <c r="AB53" i="2" s="1"/>
  <c r="AB54" i="2" s="1"/>
  <c r="AB55" i="2" s="1"/>
  <c r="AB56" i="2" s="1"/>
  <c r="AB57" i="2" s="1"/>
  <c r="AB58" i="2" s="1"/>
  <c r="AB59" i="2" s="1"/>
  <c r="AB60" i="2" s="1"/>
  <c r="AB61" i="2" s="1"/>
  <c r="AB62" i="2" s="1"/>
  <c r="AI12" i="2"/>
  <c r="AJ12" i="2"/>
  <c r="P32" i="2"/>
  <c r="P33" i="2"/>
  <c r="P34" i="2"/>
  <c r="P35" i="2"/>
  <c r="P36" i="2"/>
  <c r="P37" i="2"/>
  <c r="P38" i="2"/>
  <c r="P39" i="2"/>
  <c r="P40" i="2"/>
  <c r="P41" i="2"/>
  <c r="P42" i="2"/>
  <c r="P43" i="2"/>
  <c r="P44" i="2" s="1"/>
  <c r="P45" i="2" s="1"/>
  <c r="P46" i="2" s="1"/>
  <c r="P47" i="2" s="1"/>
  <c r="P48" i="2" s="1"/>
  <c r="P49" i="2" s="1"/>
  <c r="P50" i="2" s="1"/>
  <c r="P51" i="2" s="1"/>
  <c r="P52" i="2" s="1"/>
  <c r="P53" i="2" s="1"/>
  <c r="P54" i="2" s="1"/>
  <c r="P55" i="2" s="1"/>
  <c r="P56" i="2" s="1"/>
  <c r="P57" i="2" s="1"/>
  <c r="P58" i="2" s="1"/>
  <c r="P59" i="2" s="1"/>
  <c r="P60" i="2" s="1"/>
  <c r="P61" i="2" s="1"/>
  <c r="W61" i="1" l="1"/>
  <c r="D146" i="1" s="1"/>
  <c r="O10" i="4"/>
  <c r="J10" i="4"/>
  <c r="E10" i="4"/>
  <c r="C102" i="1"/>
  <c r="J88" i="1"/>
  <c r="F96" i="1"/>
  <c r="D81" i="1"/>
  <c r="W94" i="1"/>
  <c r="D90" i="1"/>
  <c r="D89" i="1"/>
  <c r="D85" i="1"/>
  <c r="K81" i="1"/>
  <c r="S61" i="1"/>
  <c r="P33" i="4"/>
  <c r="N138" i="4" s="1"/>
  <c r="Y4" i="2"/>
  <c r="Z4" i="2" s="1"/>
  <c r="X5" i="2"/>
  <c r="D86" i="1"/>
  <c r="D82" i="1"/>
  <c r="J51" i="1"/>
  <c r="J87" i="1" l="1"/>
  <c r="W126" i="1"/>
  <c r="I101" i="1"/>
  <c r="F103" i="1"/>
  <c r="I104" i="1"/>
  <c r="I103" i="1"/>
  <c r="C166" i="1"/>
  <c r="D83" i="1"/>
  <c r="D84" i="1"/>
  <c r="C103" i="1"/>
  <c r="E91" i="1"/>
  <c r="Q94" i="1"/>
  <c r="F104" i="1"/>
  <c r="W182" i="1"/>
  <c r="I165" i="1"/>
  <c r="D153" i="1"/>
  <c r="D150" i="1"/>
  <c r="S126" i="1"/>
  <c r="W157" i="1"/>
  <c r="D151" i="1"/>
  <c r="J151" i="1"/>
  <c r="F167" i="1"/>
  <c r="W189" i="1"/>
  <c r="I167" i="1"/>
  <c r="L51" i="1"/>
  <c r="A12" i="1" s="1"/>
  <c r="D88" i="1"/>
  <c r="D87" i="1"/>
  <c r="F102" i="1"/>
  <c r="I102" i="1"/>
  <c r="C101" i="1"/>
  <c r="D144" i="1"/>
  <c r="I164" i="1"/>
  <c r="W119" i="1"/>
  <c r="W121" i="1" s="1"/>
  <c r="D152" i="1"/>
  <c r="F166" i="1"/>
  <c r="D145" i="1"/>
  <c r="Q157" i="1"/>
  <c r="Q184" i="1" s="1"/>
  <c r="Q182" i="1"/>
  <c r="F101" i="1"/>
  <c r="F164" i="1"/>
  <c r="D147" i="1"/>
  <c r="F165" i="1"/>
  <c r="K144" i="1"/>
  <c r="F159" i="1"/>
  <c r="C167" i="1"/>
  <c r="D149" i="1"/>
  <c r="C164" i="1"/>
  <c r="C165" i="1"/>
  <c r="C104" i="1"/>
  <c r="E154" i="1"/>
  <c r="S189" i="1"/>
  <c r="J150" i="1"/>
  <c r="I166" i="1"/>
  <c r="D148" i="1"/>
  <c r="Q119" i="1"/>
  <c r="Q121" i="1" s="1"/>
  <c r="C12" i="1"/>
  <c r="J185" i="4"/>
  <c r="E45" i="4"/>
  <c r="P313" i="4"/>
  <c r="O45" i="4"/>
  <c r="E395" i="4"/>
  <c r="O185" i="4"/>
  <c r="O220" i="4"/>
  <c r="P383" i="4"/>
  <c r="P243" i="4"/>
  <c r="O115" i="4"/>
  <c r="N313" i="4"/>
  <c r="N103" i="4"/>
  <c r="E325" i="4"/>
  <c r="J150" i="4"/>
  <c r="O325" i="4"/>
  <c r="E220" i="4"/>
  <c r="P103" i="4"/>
  <c r="N243" i="4"/>
  <c r="J45" i="4"/>
  <c r="E255" i="4"/>
  <c r="P68" i="4"/>
  <c r="N68" i="4"/>
  <c r="E290" i="4"/>
  <c r="N173" i="4"/>
  <c r="N208" i="4"/>
  <c r="O395" i="4"/>
  <c r="E150" i="4"/>
  <c r="N33" i="4"/>
  <c r="P348" i="4"/>
  <c r="O150" i="4"/>
  <c r="P138" i="4"/>
  <c r="E360" i="4"/>
  <c r="O255" i="4"/>
  <c r="P173" i="4"/>
  <c r="E80" i="4"/>
  <c r="J255" i="4"/>
  <c r="J115" i="4"/>
  <c r="O360" i="4"/>
  <c r="P278" i="4"/>
  <c r="E185" i="4"/>
  <c r="O80" i="4"/>
  <c r="J220" i="4"/>
  <c r="J80" i="4"/>
  <c r="O290" i="4"/>
  <c r="P208" i="4"/>
  <c r="E115" i="4"/>
  <c r="N278" i="4"/>
  <c r="E430" i="4"/>
  <c r="J465" i="4"/>
  <c r="J500" i="4"/>
  <c r="P523" i="4"/>
  <c r="O535" i="4"/>
  <c r="J570" i="4"/>
  <c r="J605" i="4"/>
  <c r="E640" i="4"/>
  <c r="N698" i="4"/>
  <c r="J360" i="4"/>
  <c r="J430" i="4"/>
  <c r="P453" i="4"/>
  <c r="O465" i="4"/>
  <c r="P488" i="4"/>
  <c r="O500" i="4"/>
  <c r="N558" i="4"/>
  <c r="P558" i="4"/>
  <c r="O570" i="4"/>
  <c r="P593" i="4"/>
  <c r="O605" i="4"/>
  <c r="J640" i="4"/>
  <c r="E675" i="4"/>
  <c r="J710" i="4"/>
  <c r="E745" i="4"/>
  <c r="J780" i="4"/>
  <c r="N838" i="4"/>
  <c r="E850" i="4"/>
  <c r="N908" i="4"/>
  <c r="N943" i="4"/>
  <c r="P943" i="4"/>
  <c r="O955" i="4"/>
  <c r="E990" i="4"/>
  <c r="N1048" i="4"/>
  <c r="P1048" i="4"/>
  <c r="O1060" i="4"/>
  <c r="E1095" i="4"/>
  <c r="N1153" i="4"/>
  <c r="J1165" i="4"/>
  <c r="J1200" i="4"/>
  <c r="N1258" i="4"/>
  <c r="P1258" i="4"/>
  <c r="O1270" i="4"/>
  <c r="J1305" i="4"/>
  <c r="J325" i="4"/>
  <c r="N383" i="4"/>
  <c r="J395" i="4"/>
  <c r="P418" i="4"/>
  <c r="O430" i="4"/>
  <c r="N488" i="4"/>
  <c r="N523" i="4"/>
  <c r="E535" i="4"/>
  <c r="N593" i="4"/>
  <c r="N628" i="4"/>
  <c r="P628" i="4"/>
  <c r="O640" i="4"/>
  <c r="J675" i="4"/>
  <c r="P698" i="4"/>
  <c r="O710" i="4"/>
  <c r="J745" i="4"/>
  <c r="P768" i="4"/>
  <c r="O780" i="4"/>
  <c r="E815" i="4"/>
  <c r="J850" i="4"/>
  <c r="E885" i="4"/>
  <c r="E920" i="4"/>
  <c r="N978" i="4"/>
  <c r="J990" i="4"/>
  <c r="E1025" i="4"/>
  <c r="N1083" i="4"/>
  <c r="J1095" i="4"/>
  <c r="E1130" i="4"/>
  <c r="P1153" i="4"/>
  <c r="O1165" i="4"/>
  <c r="P1188" i="4"/>
  <c r="O1200" i="4"/>
  <c r="E1235" i="4"/>
  <c r="N1293" i="4"/>
  <c r="J290" i="4"/>
  <c r="N348" i="4"/>
  <c r="N418" i="4"/>
  <c r="N453" i="4"/>
  <c r="E465" i="4"/>
  <c r="E500" i="4"/>
  <c r="J535" i="4"/>
  <c r="E570" i="4"/>
  <c r="E605" i="4"/>
  <c r="N663" i="4"/>
  <c r="P663" i="4"/>
  <c r="O675" i="4"/>
  <c r="N733" i="4"/>
  <c r="P733" i="4"/>
  <c r="O745" i="4"/>
  <c r="N803" i="4"/>
  <c r="J815" i="4"/>
  <c r="P838" i="4"/>
  <c r="O850" i="4"/>
  <c r="J885" i="4"/>
  <c r="J920" i="4"/>
  <c r="E955" i="4"/>
  <c r="P978" i="4"/>
  <c r="O990" i="4"/>
  <c r="J1025" i="4"/>
  <c r="E1060" i="4"/>
  <c r="P1083" i="4"/>
  <c r="O1095" i="4"/>
  <c r="J1130" i="4"/>
  <c r="N1188" i="4"/>
  <c r="N1223" i="4"/>
  <c r="J1235" i="4"/>
  <c r="E1270" i="4"/>
  <c r="N1328" i="4"/>
  <c r="O815" i="4"/>
  <c r="J955" i="4"/>
  <c r="N1013" i="4"/>
  <c r="P1013" i="4"/>
  <c r="O1130" i="4"/>
  <c r="O1235" i="4"/>
  <c r="P803" i="4"/>
  <c r="O1025" i="4"/>
  <c r="J1060" i="4"/>
  <c r="P1118" i="4"/>
  <c r="E1200" i="4"/>
  <c r="P1223" i="4"/>
  <c r="E710" i="4"/>
  <c r="N768" i="4"/>
  <c r="E780" i="4"/>
  <c r="O885" i="4"/>
  <c r="O920" i="4"/>
  <c r="N1118" i="4"/>
  <c r="E1305" i="4"/>
  <c r="J1340" i="4"/>
  <c r="E1375" i="4"/>
  <c r="J1410" i="4"/>
  <c r="P1433" i="4"/>
  <c r="O1445" i="4"/>
  <c r="P1468" i="4"/>
  <c r="O1480" i="4"/>
  <c r="N1538" i="4"/>
  <c r="E1550" i="4"/>
  <c r="J1585" i="4"/>
  <c r="P1608" i="4"/>
  <c r="O1620" i="4"/>
  <c r="N1678" i="4"/>
  <c r="E1690" i="4"/>
  <c r="N1748" i="4"/>
  <c r="E1760" i="4"/>
  <c r="N1818" i="4"/>
  <c r="E1830" i="4"/>
  <c r="N1888" i="4"/>
  <c r="E1900" i="4"/>
  <c r="N1958" i="4"/>
  <c r="N1993" i="4"/>
  <c r="P1993" i="4"/>
  <c r="O2005" i="4"/>
  <c r="J2040" i="4"/>
  <c r="E2075" i="4"/>
  <c r="N873" i="4"/>
  <c r="N1398" i="4"/>
  <c r="E1445" i="4"/>
  <c r="O1655" i="4"/>
  <c r="J1760" i="4"/>
  <c r="P1818" i="4"/>
  <c r="J1900" i="4"/>
  <c r="E1970" i="4"/>
  <c r="N2098" i="4"/>
  <c r="O1865" i="4"/>
  <c r="E1935" i="4"/>
  <c r="E2040" i="4"/>
  <c r="P908" i="4"/>
  <c r="E1165" i="4"/>
  <c r="J1270" i="4"/>
  <c r="P1293" i="4"/>
  <c r="E1340" i="4"/>
  <c r="O1410" i="4"/>
  <c r="J1445" i="4"/>
  <c r="P1503" i="4"/>
  <c r="O1515" i="4"/>
  <c r="O1550" i="4"/>
  <c r="E1585" i="4"/>
  <c r="E1620" i="4"/>
  <c r="P1678" i="4"/>
  <c r="N1713" i="4"/>
  <c r="P1713" i="4"/>
  <c r="O1725" i="4"/>
  <c r="O1760" i="4"/>
  <c r="E1795" i="4"/>
  <c r="P873" i="4"/>
  <c r="O1340" i="4"/>
  <c r="J1375" i="4"/>
  <c r="P1398" i="4"/>
  <c r="N1433" i="4"/>
  <c r="N1468" i="4"/>
  <c r="E1480" i="4"/>
  <c r="P1538" i="4"/>
  <c r="N1573" i="4"/>
  <c r="O1585" i="4"/>
  <c r="J1620" i="4"/>
  <c r="E1655" i="4"/>
  <c r="P1748" i="4"/>
  <c r="N1783" i="4"/>
  <c r="J1795" i="4"/>
  <c r="J1830" i="4"/>
  <c r="P1888" i="4"/>
  <c r="N1923" i="4"/>
  <c r="J1935" i="4"/>
  <c r="P1958" i="4"/>
  <c r="O1970" i="4"/>
  <c r="J2005" i="4"/>
  <c r="O2040" i="4"/>
  <c r="J2075" i="4"/>
  <c r="O1305" i="4"/>
  <c r="P1328" i="4"/>
  <c r="N1363" i="4"/>
  <c r="O1375" i="4"/>
  <c r="J1480" i="4"/>
  <c r="E1515" i="4"/>
  <c r="P1573" i="4"/>
  <c r="N1608" i="4"/>
  <c r="N1643" i="4"/>
  <c r="J1655" i="4"/>
  <c r="J1690" i="4"/>
  <c r="E1725" i="4"/>
  <c r="P1783" i="4"/>
  <c r="O1795" i="4"/>
  <c r="O1830" i="4"/>
  <c r="E1865" i="4"/>
  <c r="P1923" i="4"/>
  <c r="O1935" i="4"/>
  <c r="N2028" i="4"/>
  <c r="P2028" i="4"/>
  <c r="N2063" i="4"/>
  <c r="O2075" i="4"/>
  <c r="P1363" i="4"/>
  <c r="E1410" i="4"/>
  <c r="N1503" i="4"/>
  <c r="J1515" i="4"/>
  <c r="J1550" i="4"/>
  <c r="P1643" i="4"/>
  <c r="O1690" i="4"/>
  <c r="J1725" i="4"/>
  <c r="N1853" i="4"/>
  <c r="J1865" i="4"/>
  <c r="P2063" i="4"/>
  <c r="P1853" i="4"/>
  <c r="O1900" i="4"/>
  <c r="J1970" i="4"/>
  <c r="E2005" i="4"/>
  <c r="P2098" i="4"/>
  <c r="N77" i="1"/>
  <c r="O77" i="1"/>
  <c r="E11" i="4"/>
  <c r="R15" i="4" s="1"/>
  <c r="L12" i="4"/>
  <c r="S14" i="4"/>
  <c r="R16" i="4"/>
  <c r="S17" i="4"/>
  <c r="S19" i="4"/>
  <c r="J11" i="4"/>
  <c r="R18" i="4" s="1"/>
  <c r="S16" i="4"/>
  <c r="R20" i="4"/>
  <c r="N11" i="4"/>
  <c r="S15" i="4"/>
  <c r="D17" i="4"/>
  <c r="R19" i="4" s="1"/>
  <c r="S18" i="4"/>
  <c r="S20" i="4"/>
  <c r="E12" i="4"/>
  <c r="R17" i="4"/>
  <c r="N291" i="4"/>
  <c r="S292" i="4"/>
  <c r="S295" i="4"/>
  <c r="D297" i="4"/>
  <c r="S298" i="4"/>
  <c r="S300" i="4"/>
  <c r="E292" i="4"/>
  <c r="R294" i="4"/>
  <c r="R297" i="4"/>
  <c r="R299" i="4"/>
  <c r="E291" i="4"/>
  <c r="L292" i="4"/>
  <c r="S294" i="4"/>
  <c r="R296" i="4"/>
  <c r="S297" i="4"/>
  <c r="S299" i="4"/>
  <c r="J291" i="4"/>
  <c r="R298" i="4"/>
  <c r="R292" i="4"/>
  <c r="R300" i="4"/>
  <c r="R295" i="4"/>
  <c r="S296" i="4"/>
  <c r="J151" i="4"/>
  <c r="R152" i="4"/>
  <c r="R155" i="4"/>
  <c r="S156" i="4"/>
  <c r="R158" i="4"/>
  <c r="R160" i="4"/>
  <c r="N151" i="4"/>
  <c r="S152" i="4"/>
  <c r="S155" i="4"/>
  <c r="D157" i="4"/>
  <c r="S158" i="4"/>
  <c r="S160" i="4"/>
  <c r="E152" i="4"/>
  <c r="R154" i="4"/>
  <c r="R157" i="4"/>
  <c r="R159" i="4"/>
  <c r="E151" i="4"/>
  <c r="L152" i="4"/>
  <c r="S154" i="4"/>
  <c r="R156" i="4"/>
  <c r="S157" i="4"/>
  <c r="S159" i="4"/>
  <c r="E257" i="4"/>
  <c r="R259" i="4"/>
  <c r="E256" i="4"/>
  <c r="L257" i="4"/>
  <c r="S259" i="4"/>
  <c r="R261" i="4"/>
  <c r="S262" i="4"/>
  <c r="S264" i="4"/>
  <c r="J256" i="4"/>
  <c r="R257" i="4"/>
  <c r="R260" i="4"/>
  <c r="S261" i="4"/>
  <c r="R263" i="4"/>
  <c r="R265" i="4"/>
  <c r="N256" i="4"/>
  <c r="S257" i="4"/>
  <c r="S260" i="4"/>
  <c r="D262" i="4"/>
  <c r="S263" i="4"/>
  <c r="S265" i="4"/>
  <c r="R264" i="4"/>
  <c r="R262" i="4"/>
  <c r="E117" i="4"/>
  <c r="R119" i="4"/>
  <c r="R122" i="4"/>
  <c r="R124" i="4"/>
  <c r="E116" i="4"/>
  <c r="L117" i="4"/>
  <c r="S119" i="4"/>
  <c r="R121" i="4"/>
  <c r="S122" i="4"/>
  <c r="S124" i="4"/>
  <c r="J116" i="4"/>
  <c r="R117" i="4"/>
  <c r="R120" i="4"/>
  <c r="S121" i="4"/>
  <c r="R123" i="4"/>
  <c r="R125" i="4"/>
  <c r="N116" i="4"/>
  <c r="S117" i="4"/>
  <c r="S120" i="4"/>
  <c r="D122" i="4"/>
  <c r="S123" i="4"/>
  <c r="S125" i="4"/>
  <c r="J221" i="4"/>
  <c r="R222" i="4"/>
  <c r="R225" i="4"/>
  <c r="S226" i="4"/>
  <c r="R228" i="4"/>
  <c r="R230" i="4"/>
  <c r="N221" i="4"/>
  <c r="S222" i="4"/>
  <c r="S225" i="4"/>
  <c r="D227" i="4"/>
  <c r="S228" i="4"/>
  <c r="S230" i="4"/>
  <c r="E222" i="4"/>
  <c r="R224" i="4"/>
  <c r="R227" i="4"/>
  <c r="R229" i="4"/>
  <c r="E221" i="4"/>
  <c r="L222" i="4"/>
  <c r="S224" i="4"/>
  <c r="R226" i="4"/>
  <c r="S227" i="4"/>
  <c r="S229" i="4"/>
  <c r="J81" i="4"/>
  <c r="R82" i="4"/>
  <c r="R85" i="4"/>
  <c r="S86" i="4"/>
  <c r="R88" i="4"/>
  <c r="R90" i="4"/>
  <c r="N81" i="4"/>
  <c r="S82" i="4"/>
  <c r="S85" i="4"/>
  <c r="D87" i="4"/>
  <c r="S88" i="4"/>
  <c r="S90" i="4"/>
  <c r="E82" i="4"/>
  <c r="R84" i="4"/>
  <c r="R87" i="4"/>
  <c r="R89" i="4"/>
  <c r="E81" i="4"/>
  <c r="L82" i="4"/>
  <c r="S84" i="4"/>
  <c r="R86" i="4"/>
  <c r="S87" i="4"/>
  <c r="S89" i="4"/>
  <c r="E187" i="4"/>
  <c r="R189" i="4"/>
  <c r="R192" i="4"/>
  <c r="R194" i="4"/>
  <c r="E186" i="4"/>
  <c r="L187" i="4"/>
  <c r="S189" i="4"/>
  <c r="R191" i="4"/>
  <c r="S192" i="4"/>
  <c r="S194" i="4"/>
  <c r="J186" i="4"/>
  <c r="R187" i="4"/>
  <c r="R190" i="4"/>
  <c r="S191" i="4"/>
  <c r="R193" i="4"/>
  <c r="R195" i="4"/>
  <c r="N186" i="4"/>
  <c r="S187" i="4"/>
  <c r="S190" i="4"/>
  <c r="D192" i="4"/>
  <c r="S193" i="4"/>
  <c r="S195" i="4"/>
  <c r="E47" i="4"/>
  <c r="R49" i="4" s="1"/>
  <c r="R52" i="4"/>
  <c r="E46" i="4"/>
  <c r="R50" i="4" s="1"/>
  <c r="L47" i="4"/>
  <c r="S49" i="4"/>
  <c r="R51" i="4"/>
  <c r="S52" i="4"/>
  <c r="S54" i="4"/>
  <c r="J46" i="4"/>
  <c r="R53" i="4" s="1"/>
  <c r="S51" i="4"/>
  <c r="R55" i="4"/>
  <c r="N46" i="4"/>
  <c r="S50" i="4"/>
  <c r="D52" i="4"/>
  <c r="R54" i="4" s="1"/>
  <c r="S53" i="4"/>
  <c r="S55" i="4"/>
  <c r="X6" i="2"/>
  <c r="Y5" i="2"/>
  <c r="Z5" i="2" s="1"/>
  <c r="W184" i="1" l="1"/>
  <c r="O140" i="1"/>
  <c r="N140" i="1"/>
  <c r="R14" i="4"/>
  <c r="S12" i="4" s="1"/>
  <c r="R47" i="4"/>
  <c r="S47" i="4"/>
  <c r="N1901" i="4"/>
  <c r="J1901" i="4"/>
  <c r="R1905" i="4"/>
  <c r="R1909" i="4"/>
  <c r="R1904" i="4"/>
  <c r="S1906" i="4"/>
  <c r="E1902" i="4"/>
  <c r="R1907" i="4"/>
  <c r="R1902" i="4"/>
  <c r="R1908" i="4"/>
  <c r="R1910" i="4"/>
  <c r="S1904" i="4"/>
  <c r="D1907" i="4"/>
  <c r="S1909" i="4"/>
  <c r="L1902" i="4"/>
  <c r="S1905" i="4"/>
  <c r="S1907" i="4"/>
  <c r="E1901" i="4"/>
  <c r="S1910" i="4"/>
  <c r="S1902" i="4"/>
  <c r="R1906" i="4"/>
  <c r="S1908" i="4"/>
  <c r="N1761" i="4"/>
  <c r="J1761" i="4"/>
  <c r="R1765" i="4"/>
  <c r="R1769" i="4"/>
  <c r="R1764" i="4"/>
  <c r="R1770" i="4"/>
  <c r="S1766" i="4"/>
  <c r="E1762" i="4"/>
  <c r="R1767" i="4"/>
  <c r="R1762" i="4"/>
  <c r="R1768" i="4"/>
  <c r="S1764" i="4"/>
  <c r="D1767" i="4"/>
  <c r="S1769" i="4"/>
  <c r="L1762" i="4"/>
  <c r="S1765" i="4"/>
  <c r="S1767" i="4"/>
  <c r="E1761" i="4"/>
  <c r="R1766" i="4"/>
  <c r="S1768" i="4"/>
  <c r="S1770" i="4"/>
  <c r="S1762" i="4"/>
  <c r="E1446" i="4"/>
  <c r="E1447" i="4"/>
  <c r="R1450" i="4"/>
  <c r="D1452" i="4"/>
  <c r="R1454" i="4"/>
  <c r="R1453" i="4"/>
  <c r="R1447" i="4"/>
  <c r="S1453" i="4"/>
  <c r="S1447" i="4"/>
  <c r="S1451" i="4"/>
  <c r="R1455" i="4"/>
  <c r="J1446" i="4"/>
  <c r="R1449" i="4"/>
  <c r="R1452" i="4"/>
  <c r="S1455" i="4"/>
  <c r="N1446" i="4"/>
  <c r="S1450" i="4"/>
  <c r="S1454" i="4"/>
  <c r="L1447" i="4"/>
  <c r="S1449" i="4"/>
  <c r="S1452" i="4"/>
  <c r="R1451" i="4"/>
  <c r="N1971" i="4"/>
  <c r="R1974" i="4"/>
  <c r="R1978" i="4"/>
  <c r="R1972" i="4"/>
  <c r="R1979" i="4"/>
  <c r="R1975" i="4"/>
  <c r="R1980" i="4"/>
  <c r="J1971" i="4"/>
  <c r="S1976" i="4"/>
  <c r="E1972" i="4"/>
  <c r="R1977" i="4"/>
  <c r="S1977" i="4"/>
  <c r="E1971" i="4"/>
  <c r="S1975" i="4"/>
  <c r="R1976" i="4"/>
  <c r="S1980" i="4"/>
  <c r="S1972" i="4"/>
  <c r="S1974" i="4"/>
  <c r="S1978" i="4"/>
  <c r="S1979" i="4"/>
  <c r="L1972" i="4"/>
  <c r="D1977" i="4"/>
  <c r="R1202" i="4"/>
  <c r="R1209" i="4"/>
  <c r="R1204" i="4"/>
  <c r="R1210" i="4"/>
  <c r="S1206" i="4"/>
  <c r="R1207" i="4"/>
  <c r="E1202" i="4"/>
  <c r="S1204" i="4"/>
  <c r="N1201" i="4"/>
  <c r="S1208" i="4"/>
  <c r="R1208" i="4"/>
  <c r="L1202" i="4"/>
  <c r="S1202" i="4"/>
  <c r="R1206" i="4"/>
  <c r="S1205" i="4"/>
  <c r="R1205" i="4"/>
  <c r="S1207" i="4"/>
  <c r="D1207" i="4"/>
  <c r="J1201" i="4"/>
  <c r="E1201" i="4"/>
  <c r="S1209" i="4"/>
  <c r="S1210" i="4"/>
  <c r="R397" i="4"/>
  <c r="R405" i="4"/>
  <c r="R400" i="4"/>
  <c r="S401" i="4"/>
  <c r="R403" i="4"/>
  <c r="S399" i="4"/>
  <c r="N396" i="4"/>
  <c r="S402" i="4"/>
  <c r="R402" i="4"/>
  <c r="R401" i="4"/>
  <c r="R399" i="4"/>
  <c r="L397" i="4"/>
  <c r="E397" i="4"/>
  <c r="S400" i="4"/>
  <c r="E396" i="4"/>
  <c r="S404" i="4"/>
  <c r="R404" i="4"/>
  <c r="S405" i="4"/>
  <c r="D402" i="4"/>
  <c r="S397" i="4"/>
  <c r="J396" i="4"/>
  <c r="S403" i="4"/>
  <c r="R577" i="4"/>
  <c r="S574" i="4"/>
  <c r="J571" i="4"/>
  <c r="R578" i="4"/>
  <c r="S575" i="4"/>
  <c r="R574" i="4"/>
  <c r="E572" i="4"/>
  <c r="L572" i="4"/>
  <c r="R572" i="4"/>
  <c r="N571" i="4"/>
  <c r="S580" i="4"/>
  <c r="R576" i="4"/>
  <c r="R575" i="4"/>
  <c r="S572" i="4"/>
  <c r="S577" i="4"/>
  <c r="S576" i="4"/>
  <c r="D577" i="4"/>
  <c r="E571" i="4"/>
  <c r="S579" i="4"/>
  <c r="R580" i="4"/>
  <c r="S578" i="4"/>
  <c r="R579" i="4"/>
  <c r="E1237" i="4"/>
  <c r="S1240" i="4"/>
  <c r="S1243" i="4"/>
  <c r="J1236" i="4"/>
  <c r="R1244" i="4"/>
  <c r="R1237" i="4"/>
  <c r="D1242" i="4"/>
  <c r="S1245" i="4"/>
  <c r="R1242" i="4"/>
  <c r="R1239" i="4"/>
  <c r="R1241" i="4"/>
  <c r="N1236" i="4"/>
  <c r="R1243" i="4"/>
  <c r="S1244" i="4"/>
  <c r="S1237" i="4"/>
  <c r="L1237" i="4"/>
  <c r="S1242" i="4"/>
  <c r="E1236" i="4"/>
  <c r="R1245" i="4"/>
  <c r="S1239" i="4"/>
  <c r="S1241" i="4"/>
  <c r="R1240" i="4"/>
  <c r="E887" i="4"/>
  <c r="R892" i="4"/>
  <c r="R890" i="4"/>
  <c r="N886" i="4"/>
  <c r="S893" i="4"/>
  <c r="S889" i="4"/>
  <c r="S891" i="4"/>
  <c r="S890" i="4"/>
  <c r="L887" i="4"/>
  <c r="R894" i="4"/>
  <c r="R893" i="4"/>
  <c r="D892" i="4"/>
  <c r="R891" i="4"/>
  <c r="J886" i="4"/>
  <c r="R895" i="4"/>
  <c r="S895" i="4"/>
  <c r="S892" i="4"/>
  <c r="R889" i="4"/>
  <c r="R887" i="4"/>
  <c r="S887" i="4"/>
  <c r="E886" i="4"/>
  <c r="S894" i="4"/>
  <c r="N536" i="4"/>
  <c r="R537" i="4"/>
  <c r="R542" i="4"/>
  <c r="R539" i="4"/>
  <c r="R543" i="4"/>
  <c r="J536" i="4"/>
  <c r="R540" i="4"/>
  <c r="R544" i="4"/>
  <c r="E537" i="4"/>
  <c r="S541" i="4"/>
  <c r="R545" i="4"/>
  <c r="S539" i="4"/>
  <c r="R541" i="4"/>
  <c r="S543" i="4"/>
  <c r="L537" i="4"/>
  <c r="S544" i="4"/>
  <c r="E536" i="4"/>
  <c r="S542" i="4"/>
  <c r="S545" i="4"/>
  <c r="S537" i="4"/>
  <c r="S540" i="4"/>
  <c r="D542" i="4"/>
  <c r="E1481" i="4"/>
  <c r="R1487" i="4"/>
  <c r="L1482" i="4"/>
  <c r="R1485" i="4"/>
  <c r="S1489" i="4"/>
  <c r="E1482" i="4"/>
  <c r="R1488" i="4"/>
  <c r="R1489" i="4"/>
  <c r="R1486" i="4"/>
  <c r="S1486" i="4"/>
  <c r="R1484" i="4"/>
  <c r="S1484" i="4"/>
  <c r="J1481" i="4"/>
  <c r="S1487" i="4"/>
  <c r="S1485" i="4"/>
  <c r="R1490" i="4"/>
  <c r="S1482" i="4"/>
  <c r="R1482" i="4"/>
  <c r="D1487" i="4"/>
  <c r="S1488" i="4"/>
  <c r="N1481" i="4"/>
  <c r="S1490" i="4"/>
  <c r="N2041" i="4"/>
  <c r="E2042" i="4"/>
  <c r="S2046" i="4"/>
  <c r="R2050" i="4"/>
  <c r="J2041" i="4"/>
  <c r="R2042" i="4"/>
  <c r="R2044" i="4"/>
  <c r="R2049" i="4"/>
  <c r="R2045" i="4"/>
  <c r="R2047" i="4"/>
  <c r="R2048" i="4"/>
  <c r="S2044" i="4"/>
  <c r="S2050" i="4"/>
  <c r="S2042" i="4"/>
  <c r="S2049" i="4"/>
  <c r="L2042" i="4"/>
  <c r="S2048" i="4"/>
  <c r="S2047" i="4"/>
  <c r="E2041" i="4"/>
  <c r="D2047" i="4"/>
  <c r="R2046" i="4"/>
  <c r="S2045" i="4"/>
  <c r="E1621" i="4"/>
  <c r="R1627" i="4"/>
  <c r="R1625" i="4"/>
  <c r="S1629" i="4"/>
  <c r="L1622" i="4"/>
  <c r="E1622" i="4"/>
  <c r="R1628" i="4"/>
  <c r="R1622" i="4"/>
  <c r="R1629" i="4"/>
  <c r="R1626" i="4"/>
  <c r="S1626" i="4"/>
  <c r="R1624" i="4"/>
  <c r="S1624" i="4"/>
  <c r="J1621" i="4"/>
  <c r="S1627" i="4"/>
  <c r="S1625" i="4"/>
  <c r="S1628" i="4"/>
  <c r="R1630" i="4"/>
  <c r="N1621" i="4"/>
  <c r="S1630" i="4"/>
  <c r="S1622" i="4"/>
  <c r="D1627" i="4"/>
  <c r="E1551" i="4"/>
  <c r="L1552" i="4"/>
  <c r="S1559" i="4"/>
  <c r="R1555" i="4"/>
  <c r="R1557" i="4"/>
  <c r="E1552" i="4"/>
  <c r="R1558" i="4"/>
  <c r="R1559" i="4"/>
  <c r="R1556" i="4"/>
  <c r="S1556" i="4"/>
  <c r="R1554" i="4"/>
  <c r="S1554" i="4"/>
  <c r="J1551" i="4"/>
  <c r="S1555" i="4"/>
  <c r="S1557" i="4"/>
  <c r="D1557" i="4"/>
  <c r="R1552" i="4"/>
  <c r="S1558" i="4"/>
  <c r="N1551" i="4"/>
  <c r="S1560" i="4"/>
  <c r="R1560" i="4"/>
  <c r="S1552" i="4"/>
  <c r="E1411" i="4"/>
  <c r="R1414" i="4"/>
  <c r="R1419" i="4"/>
  <c r="E1412" i="4"/>
  <c r="R1417" i="4"/>
  <c r="N1411" i="4"/>
  <c r="S1418" i="4"/>
  <c r="R1415" i="4"/>
  <c r="S1417" i="4"/>
  <c r="S1412" i="4"/>
  <c r="S1420" i="4"/>
  <c r="S1416" i="4"/>
  <c r="S1414" i="4"/>
  <c r="S1415" i="4"/>
  <c r="J1411" i="4"/>
  <c r="R1418" i="4"/>
  <c r="D1417" i="4"/>
  <c r="R1412" i="4"/>
  <c r="R1420" i="4"/>
  <c r="L1412" i="4"/>
  <c r="S1419" i="4"/>
  <c r="R1416" i="4"/>
  <c r="E1937" i="4"/>
  <c r="R1942" i="4"/>
  <c r="L1937" i="4"/>
  <c r="S1944" i="4"/>
  <c r="S1941" i="4"/>
  <c r="S1937" i="4"/>
  <c r="S1945" i="4"/>
  <c r="S1939" i="4"/>
  <c r="J1936" i="4"/>
  <c r="R1943" i="4"/>
  <c r="S1940" i="4"/>
  <c r="R1944" i="4"/>
  <c r="R1941" i="4"/>
  <c r="R1937" i="4"/>
  <c r="R1945" i="4"/>
  <c r="D1942" i="4"/>
  <c r="R1939" i="4"/>
  <c r="E1936" i="4"/>
  <c r="S1942" i="4"/>
  <c r="R1940" i="4"/>
  <c r="N1936" i="4"/>
  <c r="S1943" i="4"/>
  <c r="E1796" i="4"/>
  <c r="R1804" i="4"/>
  <c r="R1802" i="4"/>
  <c r="E1797" i="4"/>
  <c r="R1799" i="4"/>
  <c r="S1803" i="4"/>
  <c r="N1796" i="4"/>
  <c r="S1801" i="4"/>
  <c r="S1799" i="4"/>
  <c r="D1802" i="4"/>
  <c r="R1800" i="4"/>
  <c r="S1804" i="4"/>
  <c r="L1797" i="4"/>
  <c r="S1800" i="4"/>
  <c r="R1805" i="4"/>
  <c r="R1797" i="4"/>
  <c r="S1805" i="4"/>
  <c r="S1797" i="4"/>
  <c r="R1803" i="4"/>
  <c r="J1796" i="4"/>
  <c r="R1801" i="4"/>
  <c r="S1802" i="4"/>
  <c r="E1656" i="4"/>
  <c r="R1664" i="4"/>
  <c r="E1657" i="4"/>
  <c r="R1659" i="4"/>
  <c r="R1662" i="4"/>
  <c r="S1663" i="4"/>
  <c r="N1656" i="4"/>
  <c r="S1661" i="4"/>
  <c r="S1659" i="4"/>
  <c r="D1662" i="4"/>
  <c r="R1660" i="4"/>
  <c r="S1664" i="4"/>
  <c r="L1657" i="4"/>
  <c r="S1660" i="4"/>
  <c r="R1665" i="4"/>
  <c r="R1657" i="4"/>
  <c r="S1665" i="4"/>
  <c r="S1657" i="4"/>
  <c r="R1663" i="4"/>
  <c r="J1656" i="4"/>
  <c r="R1661" i="4"/>
  <c r="S1662" i="4"/>
  <c r="R1309" i="4"/>
  <c r="R1312" i="4" a="1"/>
  <c r="R1312" i="4" s="1"/>
  <c r="E1307" i="4"/>
  <c r="S1313" i="4"/>
  <c r="S1315" i="4"/>
  <c r="S1311" i="4"/>
  <c r="S1307" i="4"/>
  <c r="R1315" i="4"/>
  <c r="R1311" i="4"/>
  <c r="J1306" i="4"/>
  <c r="S1314" i="4"/>
  <c r="R1313" i="4"/>
  <c r="R1314" i="4"/>
  <c r="R1307" i="4"/>
  <c r="N1306" i="4"/>
  <c r="E1306" i="4"/>
  <c r="R1310" i="4"/>
  <c r="S1310" i="4"/>
  <c r="L1307" i="4"/>
  <c r="S1312" i="4"/>
  <c r="D1312" i="4"/>
  <c r="S1309" i="4"/>
  <c r="E1167" i="4"/>
  <c r="R1169" i="4"/>
  <c r="R1170" i="4"/>
  <c r="R1172" i="4"/>
  <c r="J1166" i="4"/>
  <c r="R1173" i="4"/>
  <c r="S1167" i="4"/>
  <c r="S1175" i="4"/>
  <c r="R1171" i="4"/>
  <c r="S1171" i="4"/>
  <c r="R1174" i="4"/>
  <c r="D1172" i="4"/>
  <c r="S1169" i="4"/>
  <c r="R1167" i="4"/>
  <c r="S1173" i="4"/>
  <c r="S1172" i="4"/>
  <c r="N1166" i="4"/>
  <c r="E1166" i="4"/>
  <c r="S1174" i="4"/>
  <c r="S1170" i="4"/>
  <c r="L1167" i="4"/>
  <c r="R1175" i="4"/>
  <c r="E642" i="4"/>
  <c r="R644" i="4"/>
  <c r="R647" i="4"/>
  <c r="R646" i="4"/>
  <c r="R642" i="4"/>
  <c r="R650" i="4"/>
  <c r="D647" i="4"/>
  <c r="S647" i="4"/>
  <c r="S646" i="4"/>
  <c r="S645" i="4"/>
  <c r="R649" i="4"/>
  <c r="E641" i="4"/>
  <c r="S649" i="4"/>
  <c r="R648" i="4"/>
  <c r="S648" i="4"/>
  <c r="L642" i="4"/>
  <c r="J641" i="4"/>
  <c r="N641" i="4"/>
  <c r="S650" i="4"/>
  <c r="S644" i="4"/>
  <c r="R645" i="4"/>
  <c r="S642" i="4"/>
  <c r="J326" i="4"/>
  <c r="E327" i="4"/>
  <c r="R332" i="4"/>
  <c r="R327" i="4"/>
  <c r="R334" i="4"/>
  <c r="R329" i="4"/>
  <c r="R335" i="4"/>
  <c r="S331" i="4"/>
  <c r="R333" i="4"/>
  <c r="S329" i="4"/>
  <c r="R330" i="4"/>
  <c r="L327" i="4"/>
  <c r="S334" i="4"/>
  <c r="D332" i="4"/>
  <c r="N326" i="4"/>
  <c r="S333" i="4"/>
  <c r="S332" i="4"/>
  <c r="S327" i="4"/>
  <c r="E326" i="4"/>
  <c r="S330" i="4"/>
  <c r="R331" i="4"/>
  <c r="S335" i="4"/>
  <c r="J1586" i="4"/>
  <c r="S1590" i="4"/>
  <c r="R1592" i="4"/>
  <c r="R1595" i="4"/>
  <c r="R1587" i="4"/>
  <c r="E1587" i="4"/>
  <c r="S1593" i="4"/>
  <c r="R1594" i="4"/>
  <c r="S1591" i="4"/>
  <c r="S1595" i="4"/>
  <c r="D1592" i="4"/>
  <c r="R1589" i="4"/>
  <c r="R1590" i="4"/>
  <c r="N1586" i="4"/>
  <c r="S1587" i="4"/>
  <c r="E1586" i="4"/>
  <c r="S1592" i="4"/>
  <c r="R1591" i="4"/>
  <c r="S1594" i="4"/>
  <c r="R1593" i="4"/>
  <c r="L1587" i="4"/>
  <c r="S1589" i="4"/>
  <c r="N1691" i="4"/>
  <c r="J1691" i="4"/>
  <c r="R1695" i="4"/>
  <c r="R1697" i="4"/>
  <c r="R1700" i="4"/>
  <c r="R1698" i="4"/>
  <c r="S1695" i="4"/>
  <c r="S1698" i="4"/>
  <c r="E1692" i="4"/>
  <c r="S1696" i="4"/>
  <c r="R1699" i="4"/>
  <c r="R1692" i="4"/>
  <c r="D1697" i="4"/>
  <c r="S1700" i="4"/>
  <c r="R1694" i="4"/>
  <c r="S1694" i="4"/>
  <c r="S1692" i="4"/>
  <c r="S1699" i="4"/>
  <c r="L1692" i="4"/>
  <c r="S1697" i="4"/>
  <c r="E1691" i="4"/>
  <c r="R1696" i="4"/>
  <c r="E1376" i="4"/>
  <c r="J1376" i="4"/>
  <c r="S1377" i="4"/>
  <c r="S1381" i="4"/>
  <c r="S1383" i="4"/>
  <c r="S1385" i="4"/>
  <c r="N1376" i="4"/>
  <c r="R1380" i="4"/>
  <c r="R1383" i="4"/>
  <c r="E1377" i="4"/>
  <c r="S1380" i="4"/>
  <c r="R1384" i="4"/>
  <c r="R1377" i="4"/>
  <c r="D1382" i="4"/>
  <c r="R1385" i="4"/>
  <c r="R1379" i="4"/>
  <c r="R1382" i="4"/>
  <c r="S1379" i="4"/>
  <c r="L1377" i="4"/>
  <c r="S1384" i="4"/>
  <c r="S1382" i="4"/>
  <c r="R1381" i="4"/>
  <c r="J1516" i="4"/>
  <c r="R1525" i="4"/>
  <c r="R1522" i="4"/>
  <c r="R1517" i="4"/>
  <c r="S1520" i="4"/>
  <c r="E1517" i="4"/>
  <c r="S1523" i="4"/>
  <c r="R1524" i="4"/>
  <c r="S1521" i="4"/>
  <c r="D1522" i="4"/>
  <c r="R1519" i="4"/>
  <c r="R1520" i="4"/>
  <c r="N1516" i="4"/>
  <c r="S1525" i="4"/>
  <c r="E1516" i="4"/>
  <c r="S1522" i="4"/>
  <c r="S1519" i="4"/>
  <c r="R1521" i="4"/>
  <c r="R1523" i="4"/>
  <c r="S1524" i="4"/>
  <c r="S1517" i="4"/>
  <c r="L1517" i="4"/>
  <c r="J991" i="4"/>
  <c r="R995" i="4"/>
  <c r="R999" i="4"/>
  <c r="E992" i="4"/>
  <c r="S996" i="4"/>
  <c r="R1000" i="4"/>
  <c r="R992" i="4"/>
  <c r="R997" i="4"/>
  <c r="R998" i="4"/>
  <c r="R994" i="4"/>
  <c r="L992" i="4"/>
  <c r="S999" i="4"/>
  <c r="D997" i="4"/>
  <c r="S994" i="4"/>
  <c r="S992" i="4"/>
  <c r="R996" i="4"/>
  <c r="S995" i="4"/>
  <c r="S997" i="4"/>
  <c r="S998" i="4"/>
  <c r="E991" i="4"/>
  <c r="N991" i="4"/>
  <c r="S1000" i="4"/>
  <c r="J711" i="4"/>
  <c r="R717" i="4"/>
  <c r="R714" i="4"/>
  <c r="E711" i="4"/>
  <c r="S717" i="4"/>
  <c r="S715" i="4"/>
  <c r="R712" i="4"/>
  <c r="E712" i="4"/>
  <c r="R715" i="4"/>
  <c r="S714" i="4"/>
  <c r="S712" i="4"/>
  <c r="R716" i="4"/>
  <c r="D717" i="4"/>
  <c r="R720" i="4"/>
  <c r="S719" i="4"/>
  <c r="S718" i="4"/>
  <c r="S716" i="4"/>
  <c r="R718" i="4"/>
  <c r="L712" i="4"/>
  <c r="N711" i="4"/>
  <c r="S720" i="4"/>
  <c r="R719" i="4"/>
  <c r="R964" i="4"/>
  <c r="E957" i="4"/>
  <c r="R962" i="4"/>
  <c r="R957" i="4"/>
  <c r="R965" i="4"/>
  <c r="D962" i="4"/>
  <c r="L957" i="4"/>
  <c r="S964" i="4"/>
  <c r="J956" i="4"/>
  <c r="N956" i="4"/>
  <c r="S965" i="4"/>
  <c r="S962" i="4"/>
  <c r="R960" i="4"/>
  <c r="S957" i="4"/>
  <c r="E956" i="4"/>
  <c r="R959" i="4"/>
  <c r="S961" i="4"/>
  <c r="S960" i="4"/>
  <c r="S959" i="4"/>
  <c r="R963" i="4"/>
  <c r="S963" i="4"/>
  <c r="R961" i="4"/>
  <c r="E501" i="4"/>
  <c r="R504" i="4"/>
  <c r="R507" i="4"/>
  <c r="R509" i="4"/>
  <c r="E502" i="4"/>
  <c r="S508" i="4"/>
  <c r="N501" i="4"/>
  <c r="S506" i="4"/>
  <c r="R508" i="4"/>
  <c r="L502" i="4"/>
  <c r="S505" i="4"/>
  <c r="R505" i="4"/>
  <c r="S502" i="4"/>
  <c r="R502" i="4"/>
  <c r="S510" i="4"/>
  <c r="R510" i="4"/>
  <c r="J501" i="4"/>
  <c r="S504" i="4"/>
  <c r="D507" i="4"/>
  <c r="S509" i="4"/>
  <c r="S507" i="4"/>
  <c r="R506" i="4"/>
  <c r="J816" i="4"/>
  <c r="S820" i="4"/>
  <c r="R825" i="4"/>
  <c r="N816" i="4"/>
  <c r="S821" i="4"/>
  <c r="R817" i="4"/>
  <c r="R822" i="4"/>
  <c r="S823" i="4"/>
  <c r="R819" i="4"/>
  <c r="D822" i="4"/>
  <c r="S817" i="4"/>
  <c r="R821" i="4"/>
  <c r="R824" i="4"/>
  <c r="R823" i="4"/>
  <c r="S819" i="4"/>
  <c r="R820" i="4"/>
  <c r="S822" i="4"/>
  <c r="E817" i="4"/>
  <c r="E816" i="4"/>
  <c r="S824" i="4"/>
  <c r="S825" i="4"/>
  <c r="L817" i="4"/>
  <c r="N1831" i="4"/>
  <c r="J1831" i="4"/>
  <c r="R1835" i="4"/>
  <c r="R1839" i="4"/>
  <c r="S1836" i="4"/>
  <c r="E1832" i="4"/>
  <c r="R1837" i="4"/>
  <c r="R1832" i="4"/>
  <c r="R1838" i="4"/>
  <c r="R1834" i="4"/>
  <c r="R1840" i="4"/>
  <c r="S1834" i="4"/>
  <c r="S1840" i="4"/>
  <c r="S1832" i="4"/>
  <c r="S1839" i="4"/>
  <c r="L1832" i="4"/>
  <c r="S1838" i="4"/>
  <c r="S1837" i="4"/>
  <c r="E1831" i="4"/>
  <c r="D1837" i="4"/>
  <c r="R1836" i="4"/>
  <c r="S1835" i="4"/>
  <c r="E2007" i="4"/>
  <c r="R2009" i="4"/>
  <c r="R2012" i="4"/>
  <c r="E2006" i="4"/>
  <c r="S2012" i="4"/>
  <c r="R2010" i="4"/>
  <c r="N2006" i="4"/>
  <c r="S2013" i="4"/>
  <c r="L2007" i="4"/>
  <c r="S2014" i="4"/>
  <c r="S2011" i="4"/>
  <c r="S2007" i="4"/>
  <c r="S2015" i="4"/>
  <c r="R2014" i="4"/>
  <c r="S2009" i="4"/>
  <c r="J2006" i="4"/>
  <c r="R2013" i="4"/>
  <c r="S2010" i="4"/>
  <c r="R2011" i="4"/>
  <c r="R2007" i="4"/>
  <c r="R2015" i="4"/>
  <c r="D2012" i="4"/>
  <c r="N1341" i="4"/>
  <c r="E1342" i="4"/>
  <c r="R1346" i="4"/>
  <c r="S1349" i="4"/>
  <c r="L1342" i="4"/>
  <c r="S1347" i="4"/>
  <c r="R1344" i="4"/>
  <c r="R1349" i="4"/>
  <c r="S1344" i="4"/>
  <c r="E1341" i="4"/>
  <c r="R1347" i="4"/>
  <c r="R1350" i="4"/>
  <c r="R1342" i="4"/>
  <c r="D1347" i="4"/>
  <c r="R1348" i="4"/>
  <c r="S1342" i="4"/>
  <c r="S1346" i="4"/>
  <c r="S1350" i="4"/>
  <c r="R1345" i="4"/>
  <c r="S1348" i="4"/>
  <c r="J1341" i="4"/>
  <c r="S1345" i="4"/>
  <c r="E2077" i="4"/>
  <c r="R2079" i="4"/>
  <c r="R2082" i="4"/>
  <c r="R2084" i="4"/>
  <c r="E2076" i="4"/>
  <c r="S2082" i="4"/>
  <c r="R2080" i="4"/>
  <c r="N2076" i="4"/>
  <c r="S2083" i="4"/>
  <c r="L2077" i="4"/>
  <c r="S2084" i="4"/>
  <c r="S2081" i="4"/>
  <c r="S2077" i="4"/>
  <c r="S2085" i="4"/>
  <c r="S2079" i="4"/>
  <c r="J2076" i="4"/>
  <c r="R2083" i="4"/>
  <c r="S2080" i="4"/>
  <c r="R2081" i="4"/>
  <c r="R2077" i="4"/>
  <c r="R2085" i="4"/>
  <c r="D2082" i="4"/>
  <c r="E851" i="4"/>
  <c r="J851" i="4"/>
  <c r="R855" i="4"/>
  <c r="R859" i="4"/>
  <c r="E852" i="4"/>
  <c r="S856" i="4"/>
  <c r="R860" i="4"/>
  <c r="R852" i="4"/>
  <c r="R857" i="4"/>
  <c r="R854" i="4"/>
  <c r="R858" i="4"/>
  <c r="S855" i="4"/>
  <c r="S854" i="4"/>
  <c r="S858" i="4"/>
  <c r="S857" i="4"/>
  <c r="D857" i="4"/>
  <c r="R856" i="4"/>
  <c r="S852" i="4"/>
  <c r="L852" i="4"/>
  <c r="S860" i="4"/>
  <c r="N851" i="4"/>
  <c r="S859" i="4"/>
  <c r="E1866" i="4"/>
  <c r="R1874" i="4"/>
  <c r="E1867" i="4"/>
  <c r="R1869" i="4"/>
  <c r="R1872" i="4"/>
  <c r="S1873" i="4"/>
  <c r="N1866" i="4"/>
  <c r="R1875" i="4"/>
  <c r="R1867" i="4"/>
  <c r="S1872" i="4"/>
  <c r="D1872" i="4"/>
  <c r="R1873" i="4"/>
  <c r="J1866" i="4"/>
  <c r="R1871" i="4"/>
  <c r="S1870" i="4"/>
  <c r="S1871" i="4"/>
  <c r="S1869" i="4"/>
  <c r="S1875" i="4"/>
  <c r="S1867" i="4"/>
  <c r="R1870" i="4"/>
  <c r="S1874" i="4"/>
  <c r="L1867" i="4"/>
  <c r="E1726" i="4"/>
  <c r="R1734" i="4"/>
  <c r="E1727" i="4"/>
  <c r="R1729" i="4"/>
  <c r="R1732" i="4"/>
  <c r="S1733" i="4"/>
  <c r="N1726" i="4"/>
  <c r="R1735" i="4"/>
  <c r="R1727" i="4"/>
  <c r="S1732" i="4"/>
  <c r="D1732" i="4"/>
  <c r="R1733" i="4"/>
  <c r="J1726" i="4"/>
  <c r="R1731" i="4"/>
  <c r="S1730" i="4"/>
  <c r="S1731" i="4"/>
  <c r="S1735" i="4"/>
  <c r="S1727" i="4"/>
  <c r="R1730" i="4"/>
  <c r="S1734" i="4"/>
  <c r="L1727" i="4"/>
  <c r="S1729" i="4"/>
  <c r="E1097" i="4"/>
  <c r="J1096" i="4"/>
  <c r="R1103" i="4"/>
  <c r="R1099" i="4"/>
  <c r="R1104" i="4"/>
  <c r="R1100" i="4"/>
  <c r="R1102" i="4"/>
  <c r="S1097" i="4"/>
  <c r="S1105" i="4"/>
  <c r="R1101" i="4"/>
  <c r="S1100" i="4"/>
  <c r="L1097" i="4"/>
  <c r="S1101" i="4"/>
  <c r="D1102" i="4"/>
  <c r="S1099" i="4"/>
  <c r="R1097" i="4"/>
  <c r="S1103" i="4"/>
  <c r="S1102" i="4"/>
  <c r="N1096" i="4"/>
  <c r="E1096" i="4"/>
  <c r="S1104" i="4"/>
  <c r="R1105" i="4"/>
  <c r="J746" i="4"/>
  <c r="E747" i="4"/>
  <c r="R749" i="4"/>
  <c r="R752" i="4"/>
  <c r="R754" i="4"/>
  <c r="R747" i="4"/>
  <c r="R753" i="4"/>
  <c r="S747" i="4"/>
  <c r="S755" i="4"/>
  <c r="R751" i="4"/>
  <c r="R750" i="4"/>
  <c r="D752" i="4"/>
  <c r="S749" i="4"/>
  <c r="R755" i="4"/>
  <c r="S753" i="4"/>
  <c r="S752" i="4"/>
  <c r="S751" i="4"/>
  <c r="N746" i="4"/>
  <c r="E746" i="4"/>
  <c r="S754" i="4"/>
  <c r="S750" i="4"/>
  <c r="L747" i="4"/>
  <c r="J781" i="4"/>
  <c r="R786" i="4"/>
  <c r="R788" i="4"/>
  <c r="R784" i="4"/>
  <c r="S786" i="4"/>
  <c r="E781" i="4"/>
  <c r="S785" i="4"/>
  <c r="R787" i="4"/>
  <c r="S784" i="4"/>
  <c r="D787" i="4"/>
  <c r="R785" i="4"/>
  <c r="L782" i="4"/>
  <c r="S788" i="4"/>
  <c r="R790" i="4"/>
  <c r="E782" i="4"/>
  <c r="N781" i="4"/>
  <c r="S790" i="4"/>
  <c r="S787" i="4"/>
  <c r="R789" i="4"/>
  <c r="S782" i="4"/>
  <c r="R782" i="4"/>
  <c r="S789" i="4"/>
  <c r="E431" i="4"/>
  <c r="E432" i="4"/>
  <c r="R434" i="4"/>
  <c r="R437" i="4"/>
  <c r="R439" i="4"/>
  <c r="S438" i="4"/>
  <c r="N431" i="4"/>
  <c r="R440" i="4"/>
  <c r="R432" i="4"/>
  <c r="S440" i="4"/>
  <c r="D437" i="4"/>
  <c r="S436" i="4"/>
  <c r="S435" i="4"/>
  <c r="R435" i="4"/>
  <c r="S432" i="4"/>
  <c r="J431" i="4"/>
  <c r="S439" i="4"/>
  <c r="L432" i="4"/>
  <c r="R438" i="4"/>
  <c r="S437" i="4"/>
  <c r="R436" i="4"/>
  <c r="S434" i="4"/>
  <c r="N1271" i="4"/>
  <c r="S1272" i="4"/>
  <c r="S1275" i="4"/>
  <c r="R1277" i="4"/>
  <c r="R1279" i="4"/>
  <c r="E1272" i="4"/>
  <c r="E1271" i="4"/>
  <c r="L1272" i="4"/>
  <c r="S1274" i="4"/>
  <c r="S1276" i="4"/>
  <c r="R1278" i="4"/>
  <c r="R1280" i="4"/>
  <c r="R1274" i="4"/>
  <c r="R1272" i="4"/>
  <c r="D1277" i="4"/>
  <c r="S1280" i="4"/>
  <c r="R1276" i="4"/>
  <c r="S1277" i="4"/>
  <c r="J1271" i="4"/>
  <c r="S1278" i="4"/>
  <c r="R1275" i="4"/>
  <c r="S1279" i="4"/>
  <c r="R1064" i="4"/>
  <c r="R1070" i="4"/>
  <c r="S1066" i="4"/>
  <c r="E1062" i="4"/>
  <c r="R1067" i="4"/>
  <c r="R1069" i="4"/>
  <c r="R1062" i="4"/>
  <c r="L1062" i="4"/>
  <c r="S1069" i="4"/>
  <c r="D1067" i="4"/>
  <c r="R1068" i="4"/>
  <c r="R1066" i="4"/>
  <c r="S1065" i="4"/>
  <c r="S1067" i="4"/>
  <c r="S1068" i="4"/>
  <c r="E1061" i="4"/>
  <c r="N1061" i="4"/>
  <c r="S1070" i="4"/>
  <c r="R1065" i="4"/>
  <c r="S1064" i="4"/>
  <c r="S1062" i="4"/>
  <c r="J1061" i="4"/>
  <c r="N606" i="4"/>
  <c r="E607" i="4"/>
  <c r="S611" i="4"/>
  <c r="R615" i="4"/>
  <c r="R607" i="4"/>
  <c r="R612" i="4"/>
  <c r="R609" i="4"/>
  <c r="R613" i="4"/>
  <c r="J606" i="4"/>
  <c r="R610" i="4"/>
  <c r="R614" i="4"/>
  <c r="S612" i="4"/>
  <c r="E606" i="4"/>
  <c r="S609" i="4"/>
  <c r="L607" i="4"/>
  <c r="S614" i="4"/>
  <c r="R611" i="4"/>
  <c r="S613" i="4"/>
  <c r="D612" i="4"/>
  <c r="S615" i="4"/>
  <c r="S610" i="4"/>
  <c r="S607" i="4"/>
  <c r="N466" i="4"/>
  <c r="E467" i="4"/>
  <c r="S471" i="4"/>
  <c r="S473" i="4"/>
  <c r="R467" i="4"/>
  <c r="D472" i="4"/>
  <c r="R474" i="4"/>
  <c r="R469" i="4"/>
  <c r="R472" i="4"/>
  <c r="R475" i="4"/>
  <c r="J466" i="4"/>
  <c r="R470" i="4"/>
  <c r="R473" i="4"/>
  <c r="S475" i="4"/>
  <c r="S469" i="4"/>
  <c r="R471" i="4"/>
  <c r="L467" i="4"/>
  <c r="S474" i="4"/>
  <c r="E466" i="4"/>
  <c r="S472" i="4"/>
  <c r="S467" i="4"/>
  <c r="S470" i="4"/>
  <c r="J361" i="4"/>
  <c r="R364" i="4"/>
  <c r="S366" i="4"/>
  <c r="R367" i="4"/>
  <c r="R362" i="4"/>
  <c r="R370" i="4"/>
  <c r="E362" i="4"/>
  <c r="R365" i="4"/>
  <c r="S362" i="4"/>
  <c r="S370" i="4"/>
  <c r="R366" i="4"/>
  <c r="R369" i="4"/>
  <c r="R368" i="4"/>
  <c r="S365" i="4"/>
  <c r="L362" i="4"/>
  <c r="D367" i="4"/>
  <c r="S364" i="4"/>
  <c r="S368" i="4"/>
  <c r="S367" i="4"/>
  <c r="N361" i="4"/>
  <c r="E361" i="4"/>
  <c r="S369" i="4"/>
  <c r="S1136" i="4"/>
  <c r="E1132" i="4"/>
  <c r="R1137" i="4"/>
  <c r="R1132" i="4"/>
  <c r="R1139" i="4"/>
  <c r="R1140" i="4"/>
  <c r="R1134" i="4"/>
  <c r="L1132" i="4"/>
  <c r="S1139" i="4"/>
  <c r="D1137" i="4"/>
  <c r="J1131" i="4"/>
  <c r="S1137" i="4"/>
  <c r="S1138" i="4"/>
  <c r="E1131" i="4"/>
  <c r="N1131" i="4"/>
  <c r="S1140" i="4"/>
  <c r="R1138" i="4"/>
  <c r="S1134" i="4"/>
  <c r="S1132" i="4"/>
  <c r="R1135" i="4"/>
  <c r="R1136" i="4"/>
  <c r="S1135" i="4"/>
  <c r="E1027" i="4"/>
  <c r="R1032" i="4"/>
  <c r="J1026" i="4"/>
  <c r="R1033" i="4"/>
  <c r="R1029" i="4"/>
  <c r="R1034" i="4"/>
  <c r="R1030" i="4"/>
  <c r="S1027" i="4"/>
  <c r="S1035" i="4"/>
  <c r="R1031" i="4"/>
  <c r="S1031" i="4"/>
  <c r="N1026" i="4"/>
  <c r="E1026" i="4"/>
  <c r="S1034" i="4"/>
  <c r="R1035" i="4"/>
  <c r="S1030" i="4"/>
  <c r="L1027" i="4"/>
  <c r="R1027" i="4"/>
  <c r="D1032" i="4"/>
  <c r="S1029" i="4"/>
  <c r="S1033" i="4"/>
  <c r="S1032" i="4"/>
  <c r="E921" i="4"/>
  <c r="R924" i="4"/>
  <c r="R928" i="4"/>
  <c r="J921" i="4"/>
  <c r="R925" i="4"/>
  <c r="R929" i="4"/>
  <c r="E922" i="4"/>
  <c r="S926" i="4"/>
  <c r="R930" i="4"/>
  <c r="R922" i="4"/>
  <c r="R927" i="4"/>
  <c r="S928" i="4"/>
  <c r="N921" i="4"/>
  <c r="S929" i="4"/>
  <c r="L922" i="4"/>
  <c r="D927" i="4"/>
  <c r="S927" i="4"/>
  <c r="S925" i="4"/>
  <c r="R926" i="4"/>
  <c r="S922" i="4"/>
  <c r="S924" i="4"/>
  <c r="S930" i="4"/>
  <c r="J676" i="4"/>
  <c r="R684" i="4"/>
  <c r="E677" i="4"/>
  <c r="R679" i="4"/>
  <c r="R682" i="4"/>
  <c r="S681" i="4"/>
  <c r="D682" i="4"/>
  <c r="L677" i="4"/>
  <c r="S684" i="4"/>
  <c r="R680" i="4"/>
  <c r="S685" i="4"/>
  <c r="S682" i="4"/>
  <c r="R685" i="4"/>
  <c r="S677" i="4"/>
  <c r="E676" i="4"/>
  <c r="R677" i="4"/>
  <c r="S680" i="4"/>
  <c r="S679" i="4"/>
  <c r="R683" i="4"/>
  <c r="S683" i="4"/>
  <c r="R681" i="4"/>
  <c r="N676" i="4"/>
  <c r="Y6" i="2"/>
  <c r="Z6" i="2" s="1"/>
  <c r="X7" i="2"/>
  <c r="O191" i="4"/>
  <c r="AE8" i="2"/>
  <c r="AC8" i="2" s="1"/>
  <c r="O86" i="4"/>
  <c r="AE5" i="2"/>
  <c r="AC5" i="2" s="1"/>
  <c r="O156" i="4"/>
  <c r="AE7" i="2"/>
  <c r="AC7" i="2" s="1"/>
  <c r="O51" i="4"/>
  <c r="AE4" i="2"/>
  <c r="AC4" i="2" s="1"/>
  <c r="O226" i="4"/>
  <c r="AE9" i="2"/>
  <c r="AC9" i="2" s="1"/>
  <c r="O121" i="4"/>
  <c r="AE6" i="2"/>
  <c r="AC6" i="2" s="1"/>
  <c r="O261" i="4"/>
  <c r="AE10" i="2"/>
  <c r="AC10" i="2" s="1"/>
  <c r="O296" i="4"/>
  <c r="AE11" i="2"/>
  <c r="AC11" i="2" s="1"/>
  <c r="O16" i="4"/>
  <c r="AE3" i="2"/>
  <c r="AC3" i="2" s="1"/>
  <c r="R12" i="4" l="1"/>
  <c r="N12" i="1" s="1"/>
  <c r="O1031" i="4"/>
  <c r="AE32" i="2"/>
  <c r="AC32" i="2" s="1"/>
  <c r="O926" i="4"/>
  <c r="AE29" i="2"/>
  <c r="AC29" i="2" s="1"/>
  <c r="O436" i="4"/>
  <c r="AE15" i="2"/>
  <c r="AC15" i="2" s="1"/>
  <c r="O1101" i="4"/>
  <c r="AE34" i="2"/>
  <c r="AC34" i="2" s="1"/>
  <c r="O1381" i="4"/>
  <c r="AE42" i="2"/>
  <c r="AC42" i="2" s="1"/>
  <c r="O1311" i="4"/>
  <c r="AE40" i="2"/>
  <c r="AC40" i="2" s="1"/>
  <c r="O1661" i="4"/>
  <c r="AE50" i="2"/>
  <c r="AC50" i="2" s="1"/>
  <c r="O1626" i="4"/>
  <c r="AE49" i="2"/>
  <c r="AC49" i="2" s="1"/>
  <c r="O891" i="4"/>
  <c r="AE28" i="2"/>
  <c r="AC28" i="2" s="1"/>
  <c r="O1241" i="4"/>
  <c r="AE38" i="2"/>
  <c r="AC38" i="2" s="1"/>
  <c r="O1976" i="4"/>
  <c r="AE59" i="2"/>
  <c r="AC59" i="2" s="1"/>
  <c r="O1906" i="4"/>
  <c r="AE57" i="2"/>
  <c r="AC57" i="2" s="1"/>
  <c r="O681" i="4"/>
  <c r="AE22" i="2"/>
  <c r="AC22" i="2" s="1"/>
  <c r="O1136" i="4"/>
  <c r="AE35" i="2"/>
  <c r="AC35" i="2" s="1"/>
  <c r="O366" i="4"/>
  <c r="AE13" i="2"/>
  <c r="AC13" i="2" s="1"/>
  <c r="O471" i="4"/>
  <c r="AE16" i="2"/>
  <c r="AC16" i="2" s="1"/>
  <c r="O611" i="4"/>
  <c r="AE20" i="2"/>
  <c r="AC20" i="2" s="1"/>
  <c r="O786" i="4"/>
  <c r="AE25" i="2"/>
  <c r="AC25" i="2" s="1"/>
  <c r="O1871" i="4"/>
  <c r="AE56" i="2"/>
  <c r="AC56" i="2" s="1"/>
  <c r="O821" i="4"/>
  <c r="AE26" i="2"/>
  <c r="AC26" i="2" s="1"/>
  <c r="AE30" i="2"/>
  <c r="AC30" i="2" s="1"/>
  <c r="O961" i="4"/>
  <c r="O996" i="4"/>
  <c r="AE31" i="2"/>
  <c r="AC31" i="2" s="1"/>
  <c r="O1591" i="4"/>
  <c r="AE48" i="2"/>
  <c r="AC48" i="2" s="1"/>
  <c r="AE21" i="2"/>
  <c r="AC21" i="2" s="1"/>
  <c r="O646" i="4"/>
  <c r="AE45" i="2"/>
  <c r="AC45" i="2" s="1"/>
  <c r="O1486" i="4"/>
  <c r="O1066" i="4"/>
  <c r="AE33" i="2"/>
  <c r="AC33" i="2" s="1"/>
  <c r="O856" i="4"/>
  <c r="AE27" i="2"/>
  <c r="AC27" i="2" s="1"/>
  <c r="O2081" i="4"/>
  <c r="AE62" i="2"/>
  <c r="AC62" i="2" s="1"/>
  <c r="O2011" i="4"/>
  <c r="AE60" i="2"/>
  <c r="AC60" i="2" s="1"/>
  <c r="O1836" i="4"/>
  <c r="AE55" i="2"/>
  <c r="AC55" i="2" s="1"/>
  <c r="O1696" i="4"/>
  <c r="AE51" i="2"/>
  <c r="AC51" i="2" s="1"/>
  <c r="O1801" i="4"/>
  <c r="AE54" i="2"/>
  <c r="AC54" i="2" s="1"/>
  <c r="O541" i="4"/>
  <c r="AE18" i="2"/>
  <c r="AC18" i="2" s="1"/>
  <c r="O1451" i="4"/>
  <c r="AE44" i="2"/>
  <c r="AC44" i="2" s="1"/>
  <c r="O1766" i="4"/>
  <c r="AE53" i="2"/>
  <c r="AC53" i="2" s="1"/>
  <c r="O1276" i="4"/>
  <c r="AE39" i="2"/>
  <c r="AC39" i="2" s="1"/>
  <c r="O751" i="4"/>
  <c r="AE24" i="2"/>
  <c r="AC24" i="2" s="1"/>
  <c r="O1731" i="4"/>
  <c r="AE52" i="2"/>
  <c r="AC52" i="2" s="1"/>
  <c r="O1346" i="4"/>
  <c r="AE41" i="2"/>
  <c r="AC41" i="2" s="1"/>
  <c r="O506" i="4"/>
  <c r="AE17" i="2"/>
  <c r="AC17" i="2" s="1"/>
  <c r="O716" i="4"/>
  <c r="AE23" i="2"/>
  <c r="AC23" i="2" s="1"/>
  <c r="O1521" i="4"/>
  <c r="AE46" i="2"/>
  <c r="AC46" i="2" s="1"/>
  <c r="O331" i="4"/>
  <c r="AE12" i="2"/>
  <c r="AC12" i="2" s="1"/>
  <c r="O1171" i="4"/>
  <c r="AE36" i="2"/>
  <c r="AC36" i="2" s="1"/>
  <c r="O1941" i="4"/>
  <c r="AE58" i="2"/>
  <c r="AC58" i="2" s="1"/>
  <c r="O1416" i="4"/>
  <c r="AE43" i="2"/>
  <c r="AC43" i="2" s="1"/>
  <c r="O1556" i="4"/>
  <c r="AE47" i="2"/>
  <c r="AC47" i="2" s="1"/>
  <c r="O2046" i="4"/>
  <c r="AE61" i="2"/>
  <c r="AC61" i="2" s="1"/>
  <c r="O576" i="4"/>
  <c r="AE19" i="2"/>
  <c r="AC19" i="2" s="1"/>
  <c r="O401" i="4"/>
  <c r="AE14" i="2"/>
  <c r="AC14" i="2" s="1"/>
  <c r="O1206" i="4"/>
  <c r="AE37" i="2"/>
  <c r="AC37" i="2" s="1"/>
  <c r="Y7" i="2"/>
  <c r="Z7" i="2" s="1"/>
  <c r="X8" i="2"/>
  <c r="O12" i="1" l="1"/>
  <c r="X9" i="2"/>
  <c r="Y8" i="2"/>
  <c r="Z8" i="2" s="1"/>
  <c r="X10" i="2" l="1"/>
  <c r="Y9" i="2"/>
  <c r="Z9" i="2" s="1"/>
  <c r="Y10" i="2" l="1"/>
  <c r="Z10" i="2" s="1"/>
  <c r="X11" i="2"/>
  <c r="Y11" i="2" l="1"/>
  <c r="Z11" i="2" s="1"/>
  <c r="X12" i="2"/>
  <c r="Y12" i="2" l="1"/>
  <c r="Z12" i="2" s="1"/>
  <c r="X13" i="2"/>
  <c r="Y13" i="2" l="1"/>
  <c r="Z13" i="2" s="1"/>
  <c r="X14" i="2"/>
  <c r="X15" i="2" l="1"/>
  <c r="Y14" i="2"/>
  <c r="Z14" i="2" s="1"/>
  <c r="X16" i="2" l="1"/>
  <c r="Y15" i="2"/>
  <c r="Z15" i="2" s="1"/>
  <c r="Y16" i="2" l="1"/>
  <c r="Z16" i="2" s="1"/>
  <c r="X17" i="2"/>
  <c r="Y17" i="2" l="1"/>
  <c r="Z17" i="2" s="1"/>
  <c r="X18" i="2"/>
  <c r="Y18" i="2" l="1"/>
  <c r="Z18" i="2" s="1"/>
  <c r="X19" i="2"/>
  <c r="X20" i="2" l="1"/>
  <c r="Y19" i="2"/>
  <c r="Z19" i="2" s="1"/>
  <c r="Y20" i="2" l="1"/>
  <c r="Z20" i="2" s="1"/>
  <c r="X21" i="2"/>
  <c r="Y21" i="2" l="1"/>
  <c r="Z21" i="2" s="1"/>
  <c r="X22" i="2"/>
  <c r="Y22" i="2" l="1"/>
  <c r="Z22" i="2" s="1"/>
  <c r="X23" i="2"/>
  <c r="X24" i="2" l="1"/>
  <c r="Y23" i="2"/>
  <c r="Z23" i="2" s="1"/>
  <c r="Y24" i="2" l="1"/>
  <c r="Z24" i="2" s="1"/>
  <c r="X25" i="2"/>
  <c r="Y25" i="2" l="1"/>
  <c r="Z25" i="2" s="1"/>
  <c r="X26" i="2"/>
  <c r="Y26" i="2" l="1"/>
  <c r="Z26" i="2" s="1"/>
  <c r="X27" i="2"/>
  <c r="X28" i="2" l="1"/>
  <c r="Y27" i="2"/>
  <c r="Z27" i="2" s="1"/>
  <c r="X29" i="2" l="1"/>
  <c r="Y28" i="2"/>
  <c r="Z28" i="2" s="1"/>
  <c r="Y29" i="2" l="1"/>
  <c r="Z29" i="2" s="1"/>
  <c r="X30" i="2"/>
  <c r="Y30" i="2" l="1"/>
  <c r="Z30" i="2" s="1"/>
  <c r="X31" i="2"/>
  <c r="Y31" i="2" l="1"/>
  <c r="Z31" i="2" s="1"/>
  <c r="X32" i="2"/>
  <c r="Y32" i="2" l="1"/>
  <c r="Z32" i="2" s="1"/>
  <c r="X33" i="2"/>
  <c r="Y33" i="2" l="1"/>
  <c r="Z33" i="2" s="1"/>
  <c r="X34" i="2"/>
  <c r="Y34" i="2" l="1"/>
  <c r="Z34" i="2" s="1"/>
  <c r="X35" i="2"/>
  <c r="Y35" i="2" l="1"/>
  <c r="Z35" i="2" s="1"/>
  <c r="X36" i="2"/>
  <c r="Y36" i="2" l="1"/>
  <c r="Z36" i="2" s="1"/>
  <c r="X37" i="2"/>
  <c r="Y37" i="2" l="1"/>
  <c r="Z37" i="2" s="1"/>
  <c r="X38" i="2"/>
  <c r="Y38" i="2" l="1"/>
  <c r="Z38" i="2" s="1"/>
  <c r="X39" i="2"/>
  <c r="Y39" i="2" l="1"/>
  <c r="Z39" i="2" s="1"/>
  <c r="X40" i="2"/>
  <c r="Y40" i="2" l="1"/>
  <c r="Z40" i="2" s="1"/>
  <c r="X41" i="2"/>
  <c r="Y41" i="2" l="1"/>
  <c r="Z41" i="2" s="1"/>
  <c r="X42" i="2"/>
  <c r="Y42" i="2" s="1"/>
  <c r="Z42" i="2" s="1"/>
</calcChain>
</file>

<file path=xl/comments1.xml><?xml version="1.0" encoding="utf-8"?>
<comments xmlns="http://schemas.openxmlformats.org/spreadsheetml/2006/main">
  <authors>
    <author>Clarke MacIntosh</author>
    <author>mrichardson</author>
    <author>CMacIntosh</author>
  </authors>
  <commentList>
    <comment ref="U12" authorId="0">
      <text>
        <r>
          <rPr>
            <b/>
            <sz val="9"/>
            <color indexed="81"/>
            <rFont val="Arial"/>
            <family val="2"/>
          </rPr>
          <t xml:space="preserve">
Instructions on completing the respective field.</t>
        </r>
        <r>
          <rPr>
            <sz val="9"/>
            <color indexed="81"/>
            <rFont val="Arial"/>
            <family val="2"/>
          </rPr>
          <t xml:space="preserve">
</t>
        </r>
      </text>
    </comment>
    <comment ref="A14" authorId="1">
      <text>
        <r>
          <rPr>
            <b/>
            <sz val="8"/>
            <color indexed="81"/>
            <rFont val="Tahoma"/>
            <family val="2"/>
          </rPr>
          <t>The information required in this section relates to the School where the candidates entering for their examinations are registered for lessons.</t>
        </r>
      </text>
    </comment>
    <comment ref="A16" authorId="1">
      <text>
        <r>
          <rPr>
            <b/>
            <sz val="8"/>
            <color indexed="81"/>
            <rFont val="Tahoma"/>
            <family val="2"/>
          </rPr>
          <t>The name of the Principal is the individual who is the owner of the School or who administers it on behalf of an owner.</t>
        </r>
      </text>
    </comment>
    <comment ref="N16" authorId="1">
      <text>
        <r>
          <rPr>
            <b/>
            <sz val="8"/>
            <color indexed="81"/>
            <rFont val="Tahoma"/>
            <family val="2"/>
          </rPr>
          <t>Please enter the details of candidates who are RAD members (the fees being different for members and non-members).</t>
        </r>
      </text>
    </comment>
    <comment ref="A17" authorId="1">
      <text>
        <r>
          <rPr>
            <b/>
            <sz val="8"/>
            <color indexed="81"/>
            <rFont val="Tahoma"/>
            <family val="2"/>
          </rPr>
          <t>The name of the School should be where the students entering for Vocational Graded and Solo Seal Award Examinations are registered for classes.</t>
        </r>
      </text>
    </comment>
    <comment ref="N17" authorId="1">
      <text>
        <r>
          <rPr>
            <b/>
            <sz val="8"/>
            <color indexed="81"/>
            <rFont val="Tahoma"/>
            <family val="2"/>
          </rPr>
          <t>This is the Candidate's ID number that was allocated at the time of their first registration.</t>
        </r>
      </text>
    </comment>
    <comment ref="O17" authorId="1">
      <text>
        <r>
          <rPr>
            <b/>
            <sz val="8"/>
            <color indexed="81"/>
            <rFont val="Tahoma"/>
            <family val="2"/>
          </rPr>
          <t>Please provide the candidate's full name.  It is important to note that Certificates are prepared based on the names on these entry forms.</t>
        </r>
      </text>
    </comment>
    <comment ref="R17" authorId="1">
      <text>
        <r>
          <rPr>
            <b/>
            <sz val="8"/>
            <color indexed="81"/>
            <rFont val="Tahoma"/>
            <family val="2"/>
          </rPr>
          <t>Please select the level of examination that each candidate is being entered for from the drop-down list.
The following codes have been used -
IF - Intermediate Foundation
I - Intermediate
AF - Advanced Foundation
A1 - Advanced 1
A2 - Advanced 2
SS - Solo Seal Award</t>
        </r>
      </text>
    </comment>
    <comment ref="S17" authorId="1">
      <text>
        <r>
          <rPr>
            <b/>
            <sz val="8"/>
            <color indexed="81"/>
            <rFont val="Tahoma"/>
            <family val="2"/>
          </rPr>
          <t xml:space="preserve">Please indicate ( X ) which Registered Teacher(s) from Part C prepared each student for the examination. 
</t>
        </r>
      </text>
    </comment>
    <comment ref="W17" authorId="1">
      <text>
        <r>
          <rPr>
            <b/>
            <sz val="8"/>
            <color indexed="81"/>
            <rFont val="Tahoma"/>
            <family val="2"/>
          </rPr>
          <t xml:space="preserve">Fees will be calculated automatically.
Current fees for all examinations are posted on </t>
        </r>
        <r>
          <rPr>
            <b/>
            <u/>
            <sz val="8"/>
            <color indexed="48"/>
            <rFont val="Tahoma"/>
            <family val="2"/>
          </rPr>
          <t>www.radcanada.org</t>
        </r>
        <r>
          <rPr>
            <b/>
            <sz val="8"/>
            <color indexed="81"/>
            <rFont val="Tahoma"/>
            <family val="2"/>
          </rPr>
          <t xml:space="preserve"> and published in the twice-yearly </t>
        </r>
        <r>
          <rPr>
            <b/>
            <i/>
            <sz val="8"/>
            <color indexed="81"/>
            <rFont val="Tahoma"/>
            <family val="2"/>
          </rPr>
          <t>Examination Guide</t>
        </r>
        <r>
          <rPr>
            <b/>
            <sz val="8"/>
            <color indexed="81"/>
            <rFont val="Tahoma"/>
            <family val="2"/>
          </rPr>
          <t>.</t>
        </r>
      </text>
    </comment>
    <comment ref="A18" authorId="1">
      <text>
        <r>
          <rPr>
            <b/>
            <sz val="8"/>
            <color indexed="81"/>
            <rFont val="Tahoma"/>
            <family val="2"/>
          </rPr>
          <t xml:space="preserve">
The  School ID is the number that has been assigned to the school by the RAD.</t>
        </r>
      </text>
    </comment>
    <comment ref="A19" authorId="1">
      <text>
        <r>
          <rPr>
            <b/>
            <sz val="8"/>
            <color indexed="81"/>
            <rFont val="Tahoma"/>
            <family val="2"/>
          </rPr>
          <t xml:space="preserve">
The School Address is the normal mailing address of the school.</t>
        </r>
      </text>
    </comment>
    <comment ref="A23" authorId="1">
      <text>
        <r>
          <rPr>
            <b/>
            <sz val="8"/>
            <color indexed="81"/>
            <rFont val="Tahoma"/>
            <family val="2"/>
          </rPr>
          <t>Please provide a telephone number where the Academy can contact the school and Teacher 1 during office hours.</t>
        </r>
      </text>
    </comment>
    <comment ref="A26" authorId="1">
      <text>
        <r>
          <rPr>
            <b/>
            <sz val="8"/>
            <color indexed="81"/>
            <rFont val="Tahoma"/>
            <family val="2"/>
          </rPr>
          <t>Please provide a cell number where the Academy can reach the Principal or a senior School administrator outside normal office hours.</t>
        </r>
      </text>
    </comment>
    <comment ref="A27" authorId="1">
      <text>
        <r>
          <rPr>
            <b/>
            <sz val="8"/>
            <color indexed="81"/>
            <rFont val="Tahoma"/>
            <family val="2"/>
          </rPr>
          <t>This section identifies your preferred venue for the examinations. It should be different to the School ID as Vocational Graded Examinations take place at RAD venues.
Please note that while every effort will be made to accommodate your preferred choice, availability cannot be guaranteed.</t>
        </r>
      </text>
    </comment>
    <comment ref="N31" authorId="1">
      <text>
        <r>
          <rPr>
            <b/>
            <sz val="8"/>
            <color indexed="81"/>
            <rFont val="Tahoma"/>
            <family val="2"/>
          </rPr>
          <t>Please enter the details of candidates who are not RAD members (the fees being different for members and non-members).</t>
        </r>
        <r>
          <rPr>
            <sz val="8"/>
            <color indexed="81"/>
            <rFont val="Tahoma"/>
            <family val="2"/>
          </rPr>
          <t xml:space="preserve">
</t>
        </r>
      </text>
    </comment>
    <comment ref="N32" authorId="1">
      <text>
        <r>
          <rPr>
            <b/>
            <sz val="8"/>
            <color indexed="81"/>
            <rFont val="Tahoma"/>
            <family val="2"/>
          </rPr>
          <t>This is the Candidate's ID number that was allocated at the time of their first registration.</t>
        </r>
      </text>
    </comment>
    <comment ref="O32" authorId="1">
      <text>
        <r>
          <rPr>
            <b/>
            <sz val="8"/>
            <color indexed="81"/>
            <rFont val="Tahoma"/>
            <family val="2"/>
          </rPr>
          <t>Please provide the candidate's full name.  It is important to note that Certificates are prepared based on the names on these entry forms.</t>
        </r>
      </text>
    </comment>
    <comment ref="R32" authorId="1">
      <text>
        <r>
          <rPr>
            <b/>
            <sz val="8"/>
            <color indexed="81"/>
            <rFont val="Tahoma"/>
            <family val="2"/>
          </rPr>
          <t>Please select the level of examination that each candidate is being entered for from the drop-down list.
The following codes have been used -
IF - Intermediate Foundation
I - Intermediate
AF - Advanced Foundation
A1 - Advanced 1
A2 - Advanced 2
SS - Solo Seal Award</t>
        </r>
      </text>
    </comment>
    <comment ref="S32" authorId="1">
      <text>
        <r>
          <rPr>
            <b/>
            <sz val="8"/>
            <color indexed="81"/>
            <rFont val="Tahoma"/>
            <family val="2"/>
          </rPr>
          <t xml:space="preserve">Please indicate ( X ) which Registered Teacher(s) from Part C prepared each student for the examination. 
</t>
        </r>
      </text>
    </comment>
    <comment ref="W32" authorId="1">
      <text>
        <r>
          <rPr>
            <b/>
            <sz val="8"/>
            <color indexed="81"/>
            <rFont val="Tahoma"/>
            <family val="2"/>
          </rPr>
          <t xml:space="preserve">Fees will be calculated automatically.
Current fees for all examinations are posted on </t>
        </r>
        <r>
          <rPr>
            <b/>
            <u/>
            <sz val="8"/>
            <color indexed="48"/>
            <rFont val="Tahoma"/>
            <family val="2"/>
          </rPr>
          <t>www.radcanada.org</t>
        </r>
        <r>
          <rPr>
            <b/>
            <sz val="8"/>
            <color indexed="81"/>
            <rFont val="Tahoma"/>
            <family val="2"/>
          </rPr>
          <t xml:space="preserve"> and published in the twice-yearly </t>
        </r>
        <r>
          <rPr>
            <b/>
            <i/>
            <sz val="8"/>
            <color indexed="81"/>
            <rFont val="Tahoma"/>
            <family val="2"/>
          </rPr>
          <t>Examination Guide</t>
        </r>
        <r>
          <rPr>
            <b/>
            <sz val="8"/>
            <color indexed="81"/>
            <rFont val="Tahoma"/>
            <family val="2"/>
          </rPr>
          <t>.</t>
        </r>
      </text>
    </comment>
    <comment ref="A33" authorId="1">
      <text>
        <r>
          <rPr>
            <b/>
            <sz val="8"/>
            <color indexed="81"/>
            <rFont val="Tahoma"/>
            <family val="2"/>
          </rPr>
          <t>This section provides information on the registered teachers who have taught the candidates.
Please enter the membership ID, first name, and last name of each teacher.</t>
        </r>
        <r>
          <rPr>
            <sz val="8"/>
            <color indexed="81"/>
            <rFont val="Tahoma"/>
            <family val="2"/>
          </rPr>
          <t xml:space="preserve">
</t>
        </r>
      </text>
    </comment>
    <comment ref="A40" authorId="1">
      <text>
        <r>
          <rPr>
            <b/>
            <sz val="8"/>
            <color indexed="81"/>
            <rFont val="Tahoma"/>
            <family val="2"/>
          </rPr>
          <t xml:space="preserve">
If the information for correspondence/contact is to be different than that in Part A - School Information, then please select the person accepting responsibility for examination mailings from the drop-down list provided (in the field to the right) and complete the contact information section, below.
Please note that this person will receive the completed examination notifications, results and certificates. This person will also be the main contact should the Academy need to discuss the arrangements for the examinations at any time. </t>
        </r>
        <r>
          <rPr>
            <sz val="8"/>
            <color indexed="81"/>
            <rFont val="Tahoma"/>
            <family val="2"/>
          </rPr>
          <t xml:space="preserve">
</t>
        </r>
      </text>
    </comment>
    <comment ref="A41" authorId="2">
      <text>
        <r>
          <rPr>
            <b/>
            <sz val="8"/>
            <color indexed="81"/>
            <rFont val="Tahoma"/>
            <family val="2"/>
          </rPr>
          <t xml:space="preserve">
Only complete this field if the person receiving examination correspondence is different than the person identified in Part A - School Information.
</t>
        </r>
      </text>
    </comment>
    <comment ref="A47" authorId="2">
      <text>
        <r>
          <rPr>
            <b/>
            <sz val="8"/>
            <color indexed="81"/>
            <rFont val="Tahoma"/>
            <family val="2"/>
          </rPr>
          <t xml:space="preserve">
Please provide a telephone number where the Academy can contact this teacher or administrator during office hours.</t>
        </r>
      </text>
    </comment>
    <comment ref="A50" authorId="1">
      <text>
        <r>
          <rPr>
            <b/>
            <sz val="8"/>
            <color indexed="81"/>
            <rFont val="Tahoma"/>
            <family val="2"/>
          </rPr>
          <t xml:space="preserve">
Please provide a cell number where the Academy can reach this teacher or administrator outside normal office hours.</t>
        </r>
      </text>
    </comment>
    <comment ref="U77" authorId="0">
      <text>
        <r>
          <rPr>
            <b/>
            <sz val="9"/>
            <color indexed="81"/>
            <rFont val="Arial"/>
            <family val="2"/>
          </rPr>
          <t xml:space="preserve">
Instructions on completing the respective field.</t>
        </r>
        <r>
          <rPr>
            <sz val="9"/>
            <color indexed="81"/>
            <rFont val="Arial"/>
            <family val="2"/>
          </rPr>
          <t xml:space="preserve">
</t>
        </r>
      </text>
    </comment>
    <comment ref="A79" authorId="1">
      <text>
        <r>
          <rPr>
            <b/>
            <sz val="8"/>
            <color indexed="81"/>
            <rFont val="Tahoma"/>
            <family val="2"/>
          </rPr>
          <t>The information required in this section relates to the School where the candidates entering for their examinations are registered for lessons.</t>
        </r>
      </text>
    </comment>
    <comment ref="A81" authorId="1">
      <text>
        <r>
          <rPr>
            <b/>
            <sz val="8"/>
            <color indexed="81"/>
            <rFont val="Tahoma"/>
            <family val="2"/>
          </rPr>
          <t>The name of the Principal is the individual who is the owner of the School or who administers it on behalf of an owner.</t>
        </r>
      </text>
    </comment>
    <comment ref="N81" authorId="1">
      <text>
        <r>
          <rPr>
            <b/>
            <sz val="8"/>
            <color indexed="81"/>
            <rFont val="Tahoma"/>
            <family val="2"/>
          </rPr>
          <t>Please enter the details of candidates who are RAD members (the fees being different for members and non-members).</t>
        </r>
      </text>
    </comment>
    <comment ref="A82" authorId="1">
      <text>
        <r>
          <rPr>
            <b/>
            <sz val="8"/>
            <color indexed="81"/>
            <rFont val="Tahoma"/>
            <family val="2"/>
          </rPr>
          <t>The name of the School should be where the students entering for Vocational Graded and Solo Seal Award Examinations are registered for classes.</t>
        </r>
      </text>
    </comment>
    <comment ref="N82" authorId="1">
      <text>
        <r>
          <rPr>
            <b/>
            <sz val="8"/>
            <color indexed="81"/>
            <rFont val="Tahoma"/>
            <family val="2"/>
          </rPr>
          <t>This is the Candidate's ID number that was allocated at the time of their first registration.</t>
        </r>
      </text>
    </comment>
    <comment ref="O82" authorId="1">
      <text>
        <r>
          <rPr>
            <b/>
            <sz val="8"/>
            <color indexed="81"/>
            <rFont val="Tahoma"/>
            <family val="2"/>
          </rPr>
          <t>Please provide the candidate's full name.  It is important to note that Certificates are prepared based on the names on these entry forms.</t>
        </r>
      </text>
    </comment>
    <comment ref="R82" authorId="1">
      <text>
        <r>
          <rPr>
            <b/>
            <sz val="8"/>
            <color indexed="81"/>
            <rFont val="Tahoma"/>
            <family val="2"/>
          </rPr>
          <t>Please select the level of examination that each candidate is being entered for from the drop-down list.
The following codes have been used -
IF - Intermediate Foundation
I - Intermediate
AF - Advanced Foundation
A1 - Advanced 1
A2 - Advanced 2
SS - Solo Seal Award</t>
        </r>
      </text>
    </comment>
    <comment ref="S82" authorId="1">
      <text>
        <r>
          <rPr>
            <b/>
            <sz val="8"/>
            <color indexed="81"/>
            <rFont val="Tahoma"/>
            <family val="2"/>
          </rPr>
          <t xml:space="preserve">Please indicate ( X ) which Registered Teacher(s) from Part C prepared each student for the examination. 
</t>
        </r>
      </text>
    </comment>
    <comment ref="W82" authorId="1">
      <text>
        <r>
          <rPr>
            <b/>
            <sz val="8"/>
            <color indexed="81"/>
            <rFont val="Tahoma"/>
            <family val="2"/>
          </rPr>
          <t xml:space="preserve">Fees will be calculated automatically.
Current fees for all examinations are posted on </t>
        </r>
        <r>
          <rPr>
            <b/>
            <u/>
            <sz val="8"/>
            <color indexed="48"/>
            <rFont val="Tahoma"/>
            <family val="2"/>
          </rPr>
          <t>www.radcanada.org</t>
        </r>
        <r>
          <rPr>
            <b/>
            <sz val="8"/>
            <color indexed="81"/>
            <rFont val="Tahoma"/>
            <family val="2"/>
          </rPr>
          <t xml:space="preserve"> and published in the twice-yearly </t>
        </r>
        <r>
          <rPr>
            <b/>
            <i/>
            <sz val="8"/>
            <color indexed="81"/>
            <rFont val="Tahoma"/>
            <family val="2"/>
          </rPr>
          <t>Examination Guide</t>
        </r>
        <r>
          <rPr>
            <b/>
            <sz val="8"/>
            <color indexed="81"/>
            <rFont val="Tahoma"/>
            <family val="2"/>
          </rPr>
          <t>.</t>
        </r>
      </text>
    </comment>
    <comment ref="A83" authorId="1">
      <text>
        <r>
          <rPr>
            <b/>
            <sz val="8"/>
            <color indexed="81"/>
            <rFont val="Tahoma"/>
            <family val="2"/>
          </rPr>
          <t xml:space="preserve">
The  School ID is the number that has been assigned to the school by the RAD.</t>
        </r>
      </text>
    </comment>
    <comment ref="A84" authorId="1">
      <text>
        <r>
          <rPr>
            <b/>
            <sz val="8"/>
            <color indexed="81"/>
            <rFont val="Tahoma"/>
            <family val="2"/>
          </rPr>
          <t xml:space="preserve">
The School Address is the normal mailing address of the school.</t>
        </r>
      </text>
    </comment>
    <comment ref="A88" authorId="1">
      <text>
        <r>
          <rPr>
            <b/>
            <sz val="8"/>
            <color indexed="81"/>
            <rFont val="Tahoma"/>
            <family val="2"/>
          </rPr>
          <t>Please provide a telephone number where the Academy can contact the school and Teacher 1 during office hours.</t>
        </r>
      </text>
    </comment>
    <comment ref="A91" authorId="1">
      <text>
        <r>
          <rPr>
            <b/>
            <sz val="8"/>
            <color indexed="81"/>
            <rFont val="Tahoma"/>
            <family val="2"/>
          </rPr>
          <t>Please provide a cell number where the Academy can reach the Principal or a senior School administrator outside normal office hours.</t>
        </r>
      </text>
    </comment>
    <comment ref="A92" authorId="1">
      <text>
        <r>
          <rPr>
            <b/>
            <sz val="8"/>
            <color indexed="81"/>
            <rFont val="Tahoma"/>
            <family val="2"/>
          </rPr>
          <t>This section identifies your preferred venue for the examinations. It should be different to the School ID as Vocational Graded Examinations take place at RAD venues.
Please note that while every effort will be made to accommodate your preferred choice, availability cannot be guaranteed.</t>
        </r>
      </text>
    </comment>
    <comment ref="N96" authorId="1">
      <text>
        <r>
          <rPr>
            <b/>
            <sz val="8"/>
            <color indexed="81"/>
            <rFont val="Tahoma"/>
            <family val="2"/>
          </rPr>
          <t>Please enter the details of candidates who are not RAD members (the fees being different for members and non-members).</t>
        </r>
        <r>
          <rPr>
            <sz val="8"/>
            <color indexed="81"/>
            <rFont val="Tahoma"/>
            <family val="2"/>
          </rPr>
          <t xml:space="preserve">
</t>
        </r>
      </text>
    </comment>
    <comment ref="N97" authorId="1">
      <text>
        <r>
          <rPr>
            <b/>
            <sz val="8"/>
            <color indexed="81"/>
            <rFont val="Tahoma"/>
            <family val="2"/>
          </rPr>
          <t>This is the Candidate's ID number that was allocated at the time of their first registration.</t>
        </r>
      </text>
    </comment>
    <comment ref="O97" authorId="1">
      <text>
        <r>
          <rPr>
            <b/>
            <sz val="8"/>
            <color indexed="81"/>
            <rFont val="Tahoma"/>
            <family val="2"/>
          </rPr>
          <t>Please provide the candidate's full name.  It is important to note that Certificates are prepared based on the names on these entry forms.</t>
        </r>
      </text>
    </comment>
    <comment ref="R97" authorId="1">
      <text>
        <r>
          <rPr>
            <b/>
            <sz val="8"/>
            <color indexed="81"/>
            <rFont val="Tahoma"/>
            <family val="2"/>
          </rPr>
          <t>Please select the level of examination that each candidate is being entered for from the drop-down list.
The following codes have been used -
IF - Intermediate Foundation
I - Intermediate
AF - Advanced Foundation
A1 - Advanced 1
A2 - Advanced 2
SS - Solo Seal Award</t>
        </r>
      </text>
    </comment>
    <comment ref="S97" authorId="1">
      <text>
        <r>
          <rPr>
            <b/>
            <sz val="8"/>
            <color indexed="81"/>
            <rFont val="Tahoma"/>
            <family val="2"/>
          </rPr>
          <t xml:space="preserve">Please indicate ( X ) which Registered Teacher(s) from Part C prepared each student for the examination. 
</t>
        </r>
      </text>
    </comment>
    <comment ref="W97" authorId="1">
      <text>
        <r>
          <rPr>
            <b/>
            <sz val="8"/>
            <color indexed="81"/>
            <rFont val="Tahoma"/>
            <family val="2"/>
          </rPr>
          <t xml:space="preserve">Fees will be calculated automatically.
Current fees for all examinations are posted on </t>
        </r>
        <r>
          <rPr>
            <b/>
            <u/>
            <sz val="8"/>
            <color indexed="48"/>
            <rFont val="Tahoma"/>
            <family val="2"/>
          </rPr>
          <t>www.radcanada.org</t>
        </r>
        <r>
          <rPr>
            <b/>
            <sz val="8"/>
            <color indexed="81"/>
            <rFont val="Tahoma"/>
            <family val="2"/>
          </rPr>
          <t xml:space="preserve"> and published in the twice-yearly </t>
        </r>
        <r>
          <rPr>
            <b/>
            <i/>
            <sz val="8"/>
            <color indexed="81"/>
            <rFont val="Tahoma"/>
            <family val="2"/>
          </rPr>
          <t>Examination Guide</t>
        </r>
        <r>
          <rPr>
            <b/>
            <sz val="8"/>
            <color indexed="81"/>
            <rFont val="Tahoma"/>
            <family val="2"/>
          </rPr>
          <t>.</t>
        </r>
      </text>
    </comment>
    <comment ref="A98" authorId="1">
      <text>
        <r>
          <rPr>
            <b/>
            <sz val="8"/>
            <color indexed="81"/>
            <rFont val="Tahoma"/>
            <family val="2"/>
          </rPr>
          <t>This section provides information on the registered teachers who have taught the candidates.
Please enter the membership ID, first name, and last name of each teacher.</t>
        </r>
        <r>
          <rPr>
            <sz val="8"/>
            <color indexed="81"/>
            <rFont val="Tahoma"/>
            <family val="2"/>
          </rPr>
          <t xml:space="preserve">
</t>
        </r>
      </text>
    </comment>
    <comment ref="U140" authorId="0">
      <text>
        <r>
          <rPr>
            <b/>
            <sz val="9"/>
            <color indexed="81"/>
            <rFont val="Arial"/>
            <family val="2"/>
          </rPr>
          <t xml:space="preserve">
Instructions on completing the respective field.</t>
        </r>
        <r>
          <rPr>
            <sz val="9"/>
            <color indexed="81"/>
            <rFont val="Arial"/>
            <family val="2"/>
          </rPr>
          <t xml:space="preserve">
</t>
        </r>
      </text>
    </comment>
    <comment ref="A142" authorId="1">
      <text>
        <r>
          <rPr>
            <b/>
            <sz val="8"/>
            <color indexed="81"/>
            <rFont val="Tahoma"/>
            <family val="2"/>
          </rPr>
          <t>The information required in this section relates to the School where the candidates entering for their examinations are registered for lessons.</t>
        </r>
      </text>
    </comment>
    <comment ref="A144" authorId="1">
      <text>
        <r>
          <rPr>
            <b/>
            <sz val="8"/>
            <color indexed="81"/>
            <rFont val="Tahoma"/>
            <family val="2"/>
          </rPr>
          <t>The name of the Principal is the individual who is the owner of the School or who administers it on behalf of an owner.</t>
        </r>
      </text>
    </comment>
    <comment ref="N144" authorId="1">
      <text>
        <r>
          <rPr>
            <b/>
            <sz val="8"/>
            <color indexed="81"/>
            <rFont val="Tahoma"/>
            <family val="2"/>
          </rPr>
          <t>Please enter the details of candidates who are RAD members (the fees being different for members and non-members).</t>
        </r>
      </text>
    </comment>
    <comment ref="A145" authorId="1">
      <text>
        <r>
          <rPr>
            <b/>
            <sz val="8"/>
            <color indexed="81"/>
            <rFont val="Tahoma"/>
            <family val="2"/>
          </rPr>
          <t>The name of the School should be where the students entering for Vocational Graded and Solo Seal Award Examinations are registered for classes.</t>
        </r>
      </text>
    </comment>
    <comment ref="N145" authorId="1">
      <text>
        <r>
          <rPr>
            <b/>
            <sz val="8"/>
            <color indexed="81"/>
            <rFont val="Tahoma"/>
            <family val="2"/>
          </rPr>
          <t>This is the Candidate's ID number that was allocated at the time of their first registration.</t>
        </r>
      </text>
    </comment>
    <comment ref="O145" authorId="1">
      <text>
        <r>
          <rPr>
            <b/>
            <sz val="8"/>
            <color indexed="81"/>
            <rFont val="Tahoma"/>
            <family val="2"/>
          </rPr>
          <t>Please provide the candidate's full name.  It is important to note that Certificates are prepared based on the names on these entry forms.</t>
        </r>
      </text>
    </comment>
    <comment ref="R145" authorId="1">
      <text>
        <r>
          <rPr>
            <b/>
            <sz val="8"/>
            <color indexed="81"/>
            <rFont val="Tahoma"/>
            <family val="2"/>
          </rPr>
          <t>Please select the level of examination that each candidate is being entered for from the drop-down list.
The following codes have been used -
IF - Intermediate Foundation
I - Intermediate
AF - Advanced Foundation
A1 - Advanced 1
A2 - Advanced 2
SS - Solo Seal Award</t>
        </r>
      </text>
    </comment>
    <comment ref="S145" authorId="1">
      <text>
        <r>
          <rPr>
            <b/>
            <sz val="8"/>
            <color indexed="81"/>
            <rFont val="Tahoma"/>
            <family val="2"/>
          </rPr>
          <t xml:space="preserve">Please indicate ( X ) which Registered Teacher(s) from Part C prepared each student for the examination. 
</t>
        </r>
      </text>
    </comment>
    <comment ref="W145" authorId="1">
      <text>
        <r>
          <rPr>
            <b/>
            <sz val="8"/>
            <color indexed="81"/>
            <rFont val="Tahoma"/>
            <family val="2"/>
          </rPr>
          <t xml:space="preserve">Fees will be calculated automatically.
Current fees for all examinations are posted on </t>
        </r>
        <r>
          <rPr>
            <b/>
            <u/>
            <sz val="8"/>
            <color indexed="48"/>
            <rFont val="Tahoma"/>
            <family val="2"/>
          </rPr>
          <t>www.radcanada.org</t>
        </r>
        <r>
          <rPr>
            <b/>
            <sz val="8"/>
            <color indexed="81"/>
            <rFont val="Tahoma"/>
            <family val="2"/>
          </rPr>
          <t xml:space="preserve"> and published in the twice-yearly </t>
        </r>
        <r>
          <rPr>
            <b/>
            <i/>
            <sz val="8"/>
            <color indexed="81"/>
            <rFont val="Tahoma"/>
            <family val="2"/>
          </rPr>
          <t>Examination Guide</t>
        </r>
        <r>
          <rPr>
            <b/>
            <sz val="8"/>
            <color indexed="81"/>
            <rFont val="Tahoma"/>
            <family val="2"/>
          </rPr>
          <t>.</t>
        </r>
      </text>
    </comment>
    <comment ref="A146" authorId="1">
      <text>
        <r>
          <rPr>
            <b/>
            <sz val="8"/>
            <color indexed="81"/>
            <rFont val="Tahoma"/>
            <family val="2"/>
          </rPr>
          <t xml:space="preserve">
The  School ID is the number that has been assigned to the school by the RAD.</t>
        </r>
      </text>
    </comment>
    <comment ref="A147" authorId="1">
      <text>
        <r>
          <rPr>
            <b/>
            <sz val="8"/>
            <color indexed="81"/>
            <rFont val="Tahoma"/>
            <family val="2"/>
          </rPr>
          <t xml:space="preserve">
The School Address is the normal mailing address of the school.</t>
        </r>
      </text>
    </comment>
    <comment ref="A151" authorId="1">
      <text>
        <r>
          <rPr>
            <b/>
            <sz val="8"/>
            <color indexed="81"/>
            <rFont val="Tahoma"/>
            <family val="2"/>
          </rPr>
          <t>Please provide a telephone number where the Academy can contact the school and Teacher 1 during office hours.</t>
        </r>
      </text>
    </comment>
    <comment ref="A154" authorId="1">
      <text>
        <r>
          <rPr>
            <b/>
            <sz val="8"/>
            <color indexed="81"/>
            <rFont val="Tahoma"/>
            <family val="2"/>
          </rPr>
          <t>Please provide a cell number where the Academy can reach the Principal or a senior School administrator outside normal office hours.</t>
        </r>
      </text>
    </comment>
    <comment ref="A155" authorId="1">
      <text>
        <r>
          <rPr>
            <b/>
            <sz val="8"/>
            <color indexed="81"/>
            <rFont val="Tahoma"/>
            <family val="2"/>
          </rPr>
          <t>This section identifies your preferred venue for the examinations. It should be different to the School ID as Vocational Graded Examinations take place at RAD venues.
Please note that while every effort will be made to accommodate your preferred choice, availability cannot be guaranteed.</t>
        </r>
      </text>
    </comment>
    <comment ref="N159" authorId="1">
      <text>
        <r>
          <rPr>
            <b/>
            <sz val="8"/>
            <color indexed="81"/>
            <rFont val="Tahoma"/>
            <family val="2"/>
          </rPr>
          <t>Please enter the details of candidates who are not RAD members (the fees being different for members and non-members).</t>
        </r>
        <r>
          <rPr>
            <sz val="8"/>
            <color indexed="81"/>
            <rFont val="Tahoma"/>
            <family val="2"/>
          </rPr>
          <t xml:space="preserve">
</t>
        </r>
      </text>
    </comment>
    <comment ref="N160" authorId="1">
      <text>
        <r>
          <rPr>
            <b/>
            <sz val="8"/>
            <color indexed="81"/>
            <rFont val="Tahoma"/>
            <family val="2"/>
          </rPr>
          <t>This is the Candidate's ID number that was allocated at the time of their first registration.</t>
        </r>
      </text>
    </comment>
    <comment ref="O160" authorId="1">
      <text>
        <r>
          <rPr>
            <b/>
            <sz val="8"/>
            <color indexed="81"/>
            <rFont val="Tahoma"/>
            <family val="2"/>
          </rPr>
          <t>Please provide the candidate's full name.  It is important to note that Certificates are prepared based on the names on these entry forms.</t>
        </r>
      </text>
    </comment>
    <comment ref="R160" authorId="1">
      <text>
        <r>
          <rPr>
            <b/>
            <sz val="8"/>
            <color indexed="81"/>
            <rFont val="Tahoma"/>
            <family val="2"/>
          </rPr>
          <t>Please select the level of examination that each candidate is being entered for from the drop-down list.
The following codes have been used -
IF - Intermediate Foundation
I - Intermediate
AF - Advanced Foundation
A1 - Advanced 1
A2 - Advanced 2
SS - Solo Seal Award</t>
        </r>
      </text>
    </comment>
    <comment ref="S160" authorId="1">
      <text>
        <r>
          <rPr>
            <b/>
            <sz val="8"/>
            <color indexed="81"/>
            <rFont val="Tahoma"/>
            <family val="2"/>
          </rPr>
          <t xml:space="preserve">Please indicate ( X ) which Registered Teacher(s) from Part C prepared each student for the examination. 
</t>
        </r>
      </text>
    </comment>
    <comment ref="W160" authorId="1">
      <text>
        <r>
          <rPr>
            <b/>
            <sz val="8"/>
            <color indexed="81"/>
            <rFont val="Tahoma"/>
            <family val="2"/>
          </rPr>
          <t xml:space="preserve">Fees will be calculated automatically.
Current fees for all examinations are posted on </t>
        </r>
        <r>
          <rPr>
            <b/>
            <u/>
            <sz val="8"/>
            <color indexed="48"/>
            <rFont val="Tahoma"/>
            <family val="2"/>
          </rPr>
          <t>www.radcanada.org</t>
        </r>
        <r>
          <rPr>
            <b/>
            <sz val="8"/>
            <color indexed="81"/>
            <rFont val="Tahoma"/>
            <family val="2"/>
          </rPr>
          <t xml:space="preserve"> and published in the twice-yearly </t>
        </r>
        <r>
          <rPr>
            <b/>
            <i/>
            <sz val="8"/>
            <color indexed="81"/>
            <rFont val="Tahoma"/>
            <family val="2"/>
          </rPr>
          <t>Examination Guide</t>
        </r>
        <r>
          <rPr>
            <b/>
            <sz val="8"/>
            <color indexed="81"/>
            <rFont val="Tahoma"/>
            <family val="2"/>
          </rPr>
          <t>.</t>
        </r>
      </text>
    </comment>
    <comment ref="A161" authorId="1">
      <text>
        <r>
          <rPr>
            <b/>
            <sz val="8"/>
            <color indexed="81"/>
            <rFont val="Tahoma"/>
            <family val="2"/>
          </rPr>
          <t>This section provides information on the registered teachers who have taught the candidates.
Please enter the membership ID, first name, and last name of each teacher.</t>
        </r>
        <r>
          <rPr>
            <sz val="8"/>
            <color indexed="81"/>
            <rFont val="Tahoma"/>
            <family val="2"/>
          </rPr>
          <t xml:space="preserve">
</t>
        </r>
      </text>
    </comment>
  </commentList>
</comments>
</file>

<file path=xl/comments2.xml><?xml version="1.0" encoding="utf-8"?>
<comments xmlns="http://schemas.openxmlformats.org/spreadsheetml/2006/main">
  <authors>
    <author>Clarke MacIntosh</author>
    <author>CMacIntosh</author>
    <author>mrichardson</author>
  </authors>
  <commentList>
    <comment ref="B8" authorId="0">
      <text>
        <r>
          <rPr>
            <b/>
            <sz val="9"/>
            <color indexed="81"/>
            <rFont val="Arial"/>
            <family val="2"/>
          </rPr>
          <t xml:space="preserve">
Instructions on completing the respective field.</t>
        </r>
        <r>
          <rPr>
            <sz val="9"/>
            <color indexed="81"/>
            <rFont val="Arial"/>
            <family val="2"/>
          </rPr>
          <t xml:space="preserve">
</t>
        </r>
      </text>
    </comment>
    <comment ref="B11" authorId="1">
      <text>
        <r>
          <rPr>
            <b/>
            <sz val="8"/>
            <color indexed="81"/>
            <rFont val="Tahoma"/>
            <family val="2"/>
          </rPr>
          <t>The Candidate ID is the permanent number that has been assigned to the Candidate by the RAD.</t>
        </r>
      </text>
    </comment>
    <comment ref="H11" authorId="1">
      <text>
        <r>
          <rPr>
            <b/>
            <sz val="8"/>
            <color indexed="81"/>
            <rFont val="Tahoma"/>
            <family val="2"/>
          </rPr>
          <t xml:space="preserve">Please select from the drop-down list on the Teacher Summary Sheet.
</t>
        </r>
      </text>
    </comment>
    <comment ref="K11" authorId="1">
      <text>
        <r>
          <rPr>
            <b/>
            <sz val="8"/>
            <color indexed="81"/>
            <rFont val="Tahoma"/>
            <family val="2"/>
          </rPr>
          <t>This is the venue at which the examination may take place.
Please select the preferred venue from the drop-down list on the Teacher Summary Sheet.</t>
        </r>
      </text>
    </comment>
    <comment ref="B1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7" authorId="2">
      <text>
        <r>
          <rPr>
            <b/>
            <sz val="8"/>
            <color indexed="81"/>
            <rFont val="Tahoma"/>
            <family val="2"/>
          </rPr>
          <t>On the Teacher Summary Sheet, please select whether the candidate is Male or Female as they are examined separately.</t>
        </r>
      </text>
    </comment>
    <comment ref="F1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20" authorId="2">
      <text>
        <r>
          <rPr>
            <b/>
            <sz val="8"/>
            <color indexed="81"/>
            <rFont val="Tahoma"/>
            <family val="2"/>
          </rPr>
          <t>Please select from the drop-down list.
If 'other' is selected, please give details of awarding body.</t>
        </r>
      </text>
    </comment>
    <comment ref="B2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1" authorId="2">
      <text>
        <r>
          <rPr>
            <b/>
            <sz val="8"/>
            <color indexed="81"/>
            <rFont val="Tahoma"/>
            <family val="2"/>
          </rPr>
          <t>Please select the result of the examination from the drop-down list.</t>
        </r>
      </text>
    </comment>
    <comment ref="B22" authorId="1">
      <text>
        <r>
          <rPr>
            <b/>
            <sz val="8"/>
            <color indexed="81"/>
            <rFont val="Tahoma"/>
            <family val="2"/>
          </rPr>
          <t xml:space="preserve">
If you have not yet been successful in a vocational graded examination, then leave this section blank.</t>
        </r>
      </text>
    </comment>
    <comment ref="B23" authorId="2">
      <text>
        <r>
          <rPr>
            <b/>
            <sz val="8"/>
            <color indexed="81"/>
            <rFont val="Tahoma"/>
            <family val="2"/>
          </rPr>
          <t>Please select from the drop-down list.
If 'other' is selected, please give details of awarding body.</t>
        </r>
      </text>
    </comment>
    <comment ref="B2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4" authorId="2">
      <text>
        <r>
          <rPr>
            <b/>
            <sz val="8"/>
            <color indexed="81"/>
            <rFont val="Tahoma"/>
            <family val="2"/>
          </rPr>
          <t>Please select the result of the examination from the drop-down list.</t>
        </r>
      </text>
    </comment>
    <comment ref="B2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3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43" authorId="0">
      <text>
        <r>
          <rPr>
            <b/>
            <sz val="9"/>
            <color indexed="81"/>
            <rFont val="Arial"/>
            <family val="2"/>
          </rPr>
          <t xml:space="preserve">
Instructions on completing the respective field.</t>
        </r>
        <r>
          <rPr>
            <sz val="9"/>
            <color indexed="81"/>
            <rFont val="Arial"/>
            <family val="2"/>
          </rPr>
          <t xml:space="preserve">
</t>
        </r>
      </text>
    </comment>
    <comment ref="B46" authorId="1">
      <text>
        <r>
          <rPr>
            <b/>
            <sz val="8"/>
            <color indexed="81"/>
            <rFont val="Tahoma"/>
            <family val="2"/>
          </rPr>
          <t>The Candidate ID is the permanent number that has been assigned to the Candidate by the RAD.</t>
        </r>
      </text>
    </comment>
    <comment ref="H46" authorId="1">
      <text>
        <r>
          <rPr>
            <b/>
            <sz val="8"/>
            <color indexed="81"/>
            <rFont val="Tahoma"/>
            <family val="2"/>
          </rPr>
          <t xml:space="preserve">Please select from the drop-down list on the Teacher Summary Sheet.
</t>
        </r>
      </text>
    </comment>
    <comment ref="K46" authorId="1">
      <text>
        <r>
          <rPr>
            <b/>
            <sz val="8"/>
            <color indexed="81"/>
            <rFont val="Tahoma"/>
            <family val="2"/>
          </rPr>
          <t>This is the venue at which the examination may take place.
Please select the preferred venue from the drop-down list on the Teacher Summary Sheet.</t>
        </r>
      </text>
    </comment>
    <comment ref="B4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4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5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52" authorId="2">
      <text>
        <r>
          <rPr>
            <b/>
            <sz val="8"/>
            <color indexed="81"/>
            <rFont val="Tahoma"/>
            <family val="2"/>
          </rPr>
          <t>On the Teacher Summary Sheet, please select whether the candidate is Male or Female as they are examined separately.</t>
        </r>
      </text>
    </comment>
    <comment ref="F5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5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5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55" authorId="2">
      <text>
        <r>
          <rPr>
            <b/>
            <sz val="8"/>
            <color indexed="81"/>
            <rFont val="Tahoma"/>
            <family val="2"/>
          </rPr>
          <t>Please select from the drop-down list.
If 'other' is selected, please give details of awarding body.</t>
        </r>
      </text>
    </comment>
    <comment ref="B5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6" authorId="2">
      <text>
        <r>
          <rPr>
            <b/>
            <sz val="8"/>
            <color indexed="81"/>
            <rFont val="Tahoma"/>
            <family val="2"/>
          </rPr>
          <t>Please select the result of the examination from the drop-down list.</t>
        </r>
      </text>
    </comment>
    <comment ref="B57" authorId="1">
      <text>
        <r>
          <rPr>
            <b/>
            <sz val="8"/>
            <color indexed="81"/>
            <rFont val="Tahoma"/>
            <family val="2"/>
          </rPr>
          <t xml:space="preserve">
If you have not yet been successful in a vocational graded examination, then leave this section blank.</t>
        </r>
      </text>
    </comment>
    <comment ref="B58" authorId="2">
      <text>
        <r>
          <rPr>
            <b/>
            <sz val="8"/>
            <color indexed="81"/>
            <rFont val="Tahoma"/>
            <family val="2"/>
          </rPr>
          <t>Please select from the drop-down list.
If 'other' is selected, please give details of awarding body.</t>
        </r>
      </text>
    </comment>
    <comment ref="B5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9" authorId="2">
      <text>
        <r>
          <rPr>
            <b/>
            <sz val="8"/>
            <color indexed="81"/>
            <rFont val="Tahoma"/>
            <family val="2"/>
          </rPr>
          <t>Please select the result of the examination from the drop-down list.</t>
        </r>
      </text>
    </comment>
    <comment ref="B6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6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6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78" authorId="0">
      <text>
        <r>
          <rPr>
            <b/>
            <sz val="9"/>
            <color indexed="81"/>
            <rFont val="Arial"/>
            <family val="2"/>
          </rPr>
          <t xml:space="preserve">
Instructions on completing the respective field.</t>
        </r>
        <r>
          <rPr>
            <sz val="9"/>
            <color indexed="81"/>
            <rFont val="Arial"/>
            <family val="2"/>
          </rPr>
          <t xml:space="preserve">
</t>
        </r>
      </text>
    </comment>
    <comment ref="B81" authorId="1">
      <text>
        <r>
          <rPr>
            <b/>
            <sz val="8"/>
            <color indexed="81"/>
            <rFont val="Tahoma"/>
            <family val="2"/>
          </rPr>
          <t>The Candidate ID is the permanent number that has been assigned to the Candidate by the RAD.</t>
        </r>
      </text>
    </comment>
    <comment ref="H81" authorId="1">
      <text>
        <r>
          <rPr>
            <b/>
            <sz val="8"/>
            <color indexed="81"/>
            <rFont val="Tahoma"/>
            <family val="2"/>
          </rPr>
          <t xml:space="preserve">Please select from the drop-down list on the Teacher Summary Sheet.
</t>
        </r>
      </text>
    </comment>
    <comment ref="K81" authorId="1">
      <text>
        <r>
          <rPr>
            <b/>
            <sz val="8"/>
            <color indexed="81"/>
            <rFont val="Tahoma"/>
            <family val="2"/>
          </rPr>
          <t>This is the venue at which the examination may take place.
Please select the preferred venue from the drop-down list on the Teacher Summary Sheet.</t>
        </r>
      </text>
    </comment>
    <comment ref="B8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8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8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87" authorId="2">
      <text>
        <r>
          <rPr>
            <b/>
            <sz val="8"/>
            <color indexed="81"/>
            <rFont val="Tahoma"/>
            <family val="2"/>
          </rPr>
          <t>On the Teacher Summary Sheet, please select whether the candidate is Male or Female as they are examined separately.</t>
        </r>
      </text>
    </comment>
    <comment ref="F8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8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8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90" authorId="2">
      <text>
        <r>
          <rPr>
            <b/>
            <sz val="8"/>
            <color indexed="81"/>
            <rFont val="Tahoma"/>
            <family val="2"/>
          </rPr>
          <t>Please select from the drop-down list.
If 'other' is selected, please give details of awarding body.</t>
        </r>
      </text>
    </comment>
    <comment ref="B9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91" authorId="2">
      <text>
        <r>
          <rPr>
            <b/>
            <sz val="8"/>
            <color indexed="81"/>
            <rFont val="Tahoma"/>
            <family val="2"/>
          </rPr>
          <t>Please select the result of the examination from the drop-down list.</t>
        </r>
      </text>
    </comment>
    <comment ref="B92" authorId="1">
      <text>
        <r>
          <rPr>
            <b/>
            <sz val="8"/>
            <color indexed="81"/>
            <rFont val="Tahoma"/>
            <family val="2"/>
          </rPr>
          <t xml:space="preserve">
If you have not yet been successful in a vocational graded examination, then leave this section blank.</t>
        </r>
      </text>
    </comment>
    <comment ref="B93" authorId="2">
      <text>
        <r>
          <rPr>
            <b/>
            <sz val="8"/>
            <color indexed="81"/>
            <rFont val="Tahoma"/>
            <family val="2"/>
          </rPr>
          <t>Please select from the drop-down list.
If 'other' is selected, please give details of awarding body.</t>
        </r>
      </text>
    </comment>
    <comment ref="B9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94" authorId="2">
      <text>
        <r>
          <rPr>
            <b/>
            <sz val="8"/>
            <color indexed="81"/>
            <rFont val="Tahoma"/>
            <family val="2"/>
          </rPr>
          <t>Please select the result of the examination from the drop-down list.</t>
        </r>
      </text>
    </comment>
    <comment ref="B9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9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0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13" authorId="0">
      <text>
        <r>
          <rPr>
            <b/>
            <sz val="9"/>
            <color indexed="81"/>
            <rFont val="Arial"/>
            <family val="2"/>
          </rPr>
          <t xml:space="preserve">
Instructions on completing the respective field.</t>
        </r>
        <r>
          <rPr>
            <sz val="9"/>
            <color indexed="81"/>
            <rFont val="Arial"/>
            <family val="2"/>
          </rPr>
          <t xml:space="preserve">
</t>
        </r>
      </text>
    </comment>
    <comment ref="B116" authorId="1">
      <text>
        <r>
          <rPr>
            <b/>
            <sz val="8"/>
            <color indexed="81"/>
            <rFont val="Tahoma"/>
            <family val="2"/>
          </rPr>
          <t>The Candidate ID is the permanent number that has been assigned to the Candidate by the RAD.</t>
        </r>
      </text>
    </comment>
    <comment ref="H116" authorId="1">
      <text>
        <r>
          <rPr>
            <b/>
            <sz val="8"/>
            <color indexed="81"/>
            <rFont val="Tahoma"/>
            <family val="2"/>
          </rPr>
          <t xml:space="preserve">Please select from the drop-down list on the Teacher Summary Sheet.
</t>
        </r>
      </text>
    </comment>
    <comment ref="K116" authorId="1">
      <text>
        <r>
          <rPr>
            <b/>
            <sz val="8"/>
            <color indexed="81"/>
            <rFont val="Tahoma"/>
            <family val="2"/>
          </rPr>
          <t>This is the venue at which the examination may take place.
Please select the preferred venue from the drop-down list on the Teacher Summary Sheet.</t>
        </r>
      </text>
    </comment>
    <comment ref="B11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1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2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22" authorId="2">
      <text>
        <r>
          <rPr>
            <b/>
            <sz val="8"/>
            <color indexed="81"/>
            <rFont val="Tahoma"/>
            <family val="2"/>
          </rPr>
          <t>On the Teacher Summary Sheet, please select whether the candidate is Male or Female as they are examined separately.</t>
        </r>
      </text>
    </comment>
    <comment ref="F12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2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2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25" authorId="2">
      <text>
        <r>
          <rPr>
            <b/>
            <sz val="8"/>
            <color indexed="81"/>
            <rFont val="Tahoma"/>
            <family val="2"/>
          </rPr>
          <t>Please select from the drop-down list.
If 'other' is selected, please give details of awarding body.</t>
        </r>
      </text>
    </comment>
    <comment ref="B12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6" authorId="2">
      <text>
        <r>
          <rPr>
            <b/>
            <sz val="8"/>
            <color indexed="81"/>
            <rFont val="Tahoma"/>
            <family val="2"/>
          </rPr>
          <t>Please select the result of the examination from the drop-down list.</t>
        </r>
      </text>
    </comment>
    <comment ref="B127" authorId="1">
      <text>
        <r>
          <rPr>
            <b/>
            <sz val="8"/>
            <color indexed="81"/>
            <rFont val="Tahoma"/>
            <family val="2"/>
          </rPr>
          <t xml:space="preserve">
If you have not yet been successful in a vocational graded examination, then leave this section blank.</t>
        </r>
      </text>
    </comment>
    <comment ref="B128" authorId="2">
      <text>
        <r>
          <rPr>
            <b/>
            <sz val="8"/>
            <color indexed="81"/>
            <rFont val="Tahoma"/>
            <family val="2"/>
          </rPr>
          <t>Please select from the drop-down list.
If 'other' is selected, please give details of awarding body.</t>
        </r>
      </text>
    </comment>
    <comment ref="B12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9" authorId="2">
      <text>
        <r>
          <rPr>
            <b/>
            <sz val="8"/>
            <color indexed="81"/>
            <rFont val="Tahoma"/>
            <family val="2"/>
          </rPr>
          <t>Please select the result of the examination from the drop-down list.</t>
        </r>
      </text>
    </comment>
    <comment ref="B13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3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3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48" authorId="0">
      <text>
        <r>
          <rPr>
            <b/>
            <sz val="9"/>
            <color indexed="81"/>
            <rFont val="Arial"/>
            <family val="2"/>
          </rPr>
          <t xml:space="preserve">
Instructions on completing the respective field.</t>
        </r>
        <r>
          <rPr>
            <sz val="9"/>
            <color indexed="81"/>
            <rFont val="Arial"/>
            <family val="2"/>
          </rPr>
          <t xml:space="preserve">
</t>
        </r>
      </text>
    </comment>
    <comment ref="B151" authorId="1">
      <text>
        <r>
          <rPr>
            <b/>
            <sz val="8"/>
            <color indexed="81"/>
            <rFont val="Tahoma"/>
            <family val="2"/>
          </rPr>
          <t>The Candidate ID is the permanent number that has been assigned to the Candidate by the RAD.</t>
        </r>
      </text>
    </comment>
    <comment ref="H151" authorId="1">
      <text>
        <r>
          <rPr>
            <b/>
            <sz val="8"/>
            <color indexed="81"/>
            <rFont val="Tahoma"/>
            <family val="2"/>
          </rPr>
          <t xml:space="preserve">Please select from the drop-down list on the Teacher Summary Sheet.
</t>
        </r>
      </text>
    </comment>
    <comment ref="K151" authorId="1">
      <text>
        <r>
          <rPr>
            <b/>
            <sz val="8"/>
            <color indexed="81"/>
            <rFont val="Tahoma"/>
            <family val="2"/>
          </rPr>
          <t>This is the venue at which the examination may take place.
Please select the preferred venue from the drop-down list on the Teacher Summary Sheet.</t>
        </r>
      </text>
    </comment>
    <comment ref="B15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5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5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57" authorId="2">
      <text>
        <r>
          <rPr>
            <b/>
            <sz val="8"/>
            <color indexed="81"/>
            <rFont val="Tahoma"/>
            <family val="2"/>
          </rPr>
          <t>On the Teacher Summary Sheet, please select whether the candidate is Male or Female as they are examined separately.</t>
        </r>
      </text>
    </comment>
    <comment ref="F15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5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5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60" authorId="2">
      <text>
        <r>
          <rPr>
            <b/>
            <sz val="8"/>
            <color indexed="81"/>
            <rFont val="Tahoma"/>
            <family val="2"/>
          </rPr>
          <t>Please select from the drop-down list.
If 'other' is selected, please give details of awarding body.</t>
        </r>
      </text>
    </comment>
    <comment ref="B16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61" authorId="2">
      <text>
        <r>
          <rPr>
            <b/>
            <sz val="8"/>
            <color indexed="81"/>
            <rFont val="Tahoma"/>
            <family val="2"/>
          </rPr>
          <t>Please select the result of the examination from the drop-down list.</t>
        </r>
      </text>
    </comment>
    <comment ref="B162" authorId="1">
      <text>
        <r>
          <rPr>
            <b/>
            <sz val="8"/>
            <color indexed="81"/>
            <rFont val="Tahoma"/>
            <family val="2"/>
          </rPr>
          <t xml:space="preserve">
If you have not yet been successful in a vocational graded examination, then leave this section blank.</t>
        </r>
      </text>
    </comment>
    <comment ref="B163" authorId="2">
      <text>
        <r>
          <rPr>
            <b/>
            <sz val="8"/>
            <color indexed="81"/>
            <rFont val="Tahoma"/>
            <family val="2"/>
          </rPr>
          <t>Please select from the drop-down list.
If 'other' is selected, please give details of awarding body.</t>
        </r>
      </text>
    </comment>
    <comment ref="B16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64" authorId="2">
      <text>
        <r>
          <rPr>
            <b/>
            <sz val="8"/>
            <color indexed="81"/>
            <rFont val="Tahoma"/>
            <family val="2"/>
          </rPr>
          <t>Please select the result of the examination from the drop-down list.</t>
        </r>
      </text>
    </comment>
    <comment ref="B16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6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7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83" authorId="0">
      <text>
        <r>
          <rPr>
            <b/>
            <sz val="9"/>
            <color indexed="81"/>
            <rFont val="Arial"/>
            <family val="2"/>
          </rPr>
          <t xml:space="preserve">
Instructions on completing the respective field.</t>
        </r>
        <r>
          <rPr>
            <sz val="9"/>
            <color indexed="81"/>
            <rFont val="Arial"/>
            <family val="2"/>
          </rPr>
          <t xml:space="preserve">
</t>
        </r>
      </text>
    </comment>
    <comment ref="B186" authorId="1">
      <text>
        <r>
          <rPr>
            <b/>
            <sz val="8"/>
            <color indexed="81"/>
            <rFont val="Tahoma"/>
            <family val="2"/>
          </rPr>
          <t>The Candidate ID is the permanent number that has been assigned to the Candidate by the RAD.</t>
        </r>
      </text>
    </comment>
    <comment ref="H186" authorId="1">
      <text>
        <r>
          <rPr>
            <b/>
            <sz val="8"/>
            <color indexed="81"/>
            <rFont val="Tahoma"/>
            <family val="2"/>
          </rPr>
          <t xml:space="preserve">Please select from the drop-down list on the Teacher Summary Sheet.
</t>
        </r>
      </text>
    </comment>
    <comment ref="K186" authorId="1">
      <text>
        <r>
          <rPr>
            <b/>
            <sz val="8"/>
            <color indexed="81"/>
            <rFont val="Tahoma"/>
            <family val="2"/>
          </rPr>
          <t>This is the venue at which the examination may take place.
Please select the preferred venue from the drop-down list on the Teacher Summary Sheet.</t>
        </r>
      </text>
    </comment>
    <comment ref="B18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8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9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92" authorId="2">
      <text>
        <r>
          <rPr>
            <b/>
            <sz val="8"/>
            <color indexed="81"/>
            <rFont val="Tahoma"/>
            <family val="2"/>
          </rPr>
          <t>On the Teacher Summary Sheet, please select whether the candidate is Male or Female as they are examined separately.</t>
        </r>
      </text>
    </comment>
    <comment ref="F19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9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9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95" authorId="2">
      <text>
        <r>
          <rPr>
            <b/>
            <sz val="8"/>
            <color indexed="81"/>
            <rFont val="Tahoma"/>
            <family val="2"/>
          </rPr>
          <t>Please select from the drop-down list.
If 'other' is selected, please give details of awarding body.</t>
        </r>
      </text>
    </comment>
    <comment ref="B19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6" authorId="2">
      <text>
        <r>
          <rPr>
            <b/>
            <sz val="8"/>
            <color indexed="81"/>
            <rFont val="Tahoma"/>
            <family val="2"/>
          </rPr>
          <t>Please select the result of the examination from the drop-down list.</t>
        </r>
      </text>
    </comment>
    <comment ref="B197" authorId="1">
      <text>
        <r>
          <rPr>
            <b/>
            <sz val="8"/>
            <color indexed="81"/>
            <rFont val="Tahoma"/>
            <family val="2"/>
          </rPr>
          <t xml:space="preserve">
If you have not yet been successful in a vocational graded examination, then leave this section blank.</t>
        </r>
      </text>
    </comment>
    <comment ref="B198" authorId="2">
      <text>
        <r>
          <rPr>
            <b/>
            <sz val="8"/>
            <color indexed="81"/>
            <rFont val="Tahoma"/>
            <family val="2"/>
          </rPr>
          <t>Please select from the drop-down list.
If 'other' is selected, please give details of awarding body.</t>
        </r>
      </text>
    </comment>
    <comment ref="B19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9" authorId="2">
      <text>
        <r>
          <rPr>
            <b/>
            <sz val="8"/>
            <color indexed="81"/>
            <rFont val="Tahoma"/>
            <family val="2"/>
          </rPr>
          <t>Please select the result of the examination from the drop-down list.</t>
        </r>
      </text>
    </comment>
    <comment ref="B20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0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20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218" authorId="0">
      <text>
        <r>
          <rPr>
            <b/>
            <sz val="9"/>
            <color indexed="81"/>
            <rFont val="Arial"/>
            <family val="2"/>
          </rPr>
          <t xml:space="preserve">
Instructions on completing the respective field.</t>
        </r>
        <r>
          <rPr>
            <sz val="9"/>
            <color indexed="81"/>
            <rFont val="Arial"/>
            <family val="2"/>
          </rPr>
          <t xml:space="preserve">
</t>
        </r>
      </text>
    </comment>
    <comment ref="B221" authorId="1">
      <text>
        <r>
          <rPr>
            <b/>
            <sz val="8"/>
            <color indexed="81"/>
            <rFont val="Tahoma"/>
            <family val="2"/>
          </rPr>
          <t>The Candidate ID is the permanent number that has been assigned to the Candidate by the RAD.</t>
        </r>
      </text>
    </comment>
    <comment ref="H221" authorId="1">
      <text>
        <r>
          <rPr>
            <b/>
            <sz val="8"/>
            <color indexed="81"/>
            <rFont val="Tahoma"/>
            <family val="2"/>
          </rPr>
          <t xml:space="preserve">Please select from the drop-down list on the Teacher Summary Sheet.
</t>
        </r>
      </text>
    </comment>
    <comment ref="K221" authorId="1">
      <text>
        <r>
          <rPr>
            <b/>
            <sz val="8"/>
            <color indexed="81"/>
            <rFont val="Tahoma"/>
            <family val="2"/>
          </rPr>
          <t>This is the venue at which the examination may take place.
Please select the preferred venue from the drop-down list on the Teacher Summary Sheet.</t>
        </r>
      </text>
    </comment>
    <comment ref="B22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22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22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227" authorId="2">
      <text>
        <r>
          <rPr>
            <b/>
            <sz val="8"/>
            <color indexed="81"/>
            <rFont val="Tahoma"/>
            <family val="2"/>
          </rPr>
          <t>On the Teacher Summary Sheet, please select whether the candidate is Male or Female as they are examined separately.</t>
        </r>
      </text>
    </comment>
    <comment ref="F22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22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22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230" authorId="2">
      <text>
        <r>
          <rPr>
            <b/>
            <sz val="8"/>
            <color indexed="81"/>
            <rFont val="Tahoma"/>
            <family val="2"/>
          </rPr>
          <t>Please select from the drop-down list.
If 'other' is selected, please give details of awarding body.</t>
        </r>
      </text>
    </comment>
    <comment ref="B23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31" authorId="2">
      <text>
        <r>
          <rPr>
            <b/>
            <sz val="8"/>
            <color indexed="81"/>
            <rFont val="Tahoma"/>
            <family val="2"/>
          </rPr>
          <t>Please select the result of the examination from the drop-down list.</t>
        </r>
      </text>
    </comment>
    <comment ref="B232" authorId="1">
      <text>
        <r>
          <rPr>
            <b/>
            <sz val="8"/>
            <color indexed="81"/>
            <rFont val="Tahoma"/>
            <family val="2"/>
          </rPr>
          <t xml:space="preserve">
If you have not yet been successful in a vocational graded examination, then leave this section blank.</t>
        </r>
      </text>
    </comment>
    <comment ref="B233" authorId="2">
      <text>
        <r>
          <rPr>
            <b/>
            <sz val="8"/>
            <color indexed="81"/>
            <rFont val="Tahoma"/>
            <family val="2"/>
          </rPr>
          <t>Please select from the drop-down list.
If 'other' is selected, please give details of awarding body.</t>
        </r>
      </text>
    </comment>
    <comment ref="B23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34" authorId="2">
      <text>
        <r>
          <rPr>
            <b/>
            <sz val="8"/>
            <color indexed="81"/>
            <rFont val="Tahoma"/>
            <family val="2"/>
          </rPr>
          <t>Please select the result of the examination from the drop-down list.</t>
        </r>
      </text>
    </comment>
    <comment ref="B23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3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24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253" authorId="0">
      <text>
        <r>
          <rPr>
            <b/>
            <sz val="9"/>
            <color indexed="81"/>
            <rFont val="Arial"/>
            <family val="2"/>
          </rPr>
          <t xml:space="preserve">
Instructions on completing the respective field.</t>
        </r>
        <r>
          <rPr>
            <sz val="9"/>
            <color indexed="81"/>
            <rFont val="Arial"/>
            <family val="2"/>
          </rPr>
          <t xml:space="preserve">
</t>
        </r>
      </text>
    </comment>
    <comment ref="B256" authorId="1">
      <text>
        <r>
          <rPr>
            <b/>
            <sz val="8"/>
            <color indexed="81"/>
            <rFont val="Tahoma"/>
            <family val="2"/>
          </rPr>
          <t>The Candidate ID is the permanent number that has been assigned to the Candidate by the RAD.</t>
        </r>
      </text>
    </comment>
    <comment ref="H256" authorId="1">
      <text>
        <r>
          <rPr>
            <b/>
            <sz val="8"/>
            <color indexed="81"/>
            <rFont val="Tahoma"/>
            <family val="2"/>
          </rPr>
          <t xml:space="preserve">Please select from the drop-down list on the Teacher Summary Sheet.
</t>
        </r>
      </text>
    </comment>
    <comment ref="K256" authorId="1">
      <text>
        <r>
          <rPr>
            <b/>
            <sz val="8"/>
            <color indexed="81"/>
            <rFont val="Tahoma"/>
            <family val="2"/>
          </rPr>
          <t>This is the venue at which the examination may take place.
Please select the preferred venue from the drop-down list on the Teacher Summary Sheet.</t>
        </r>
      </text>
    </comment>
    <comment ref="B25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25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26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262" authorId="2">
      <text>
        <r>
          <rPr>
            <b/>
            <sz val="8"/>
            <color indexed="81"/>
            <rFont val="Tahoma"/>
            <family val="2"/>
          </rPr>
          <t>On the Teacher Summary Sheet, please select whether the candidate is Male or Female as they are examined separately.</t>
        </r>
      </text>
    </comment>
    <comment ref="F26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26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26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265" authorId="2">
      <text>
        <r>
          <rPr>
            <b/>
            <sz val="8"/>
            <color indexed="81"/>
            <rFont val="Tahoma"/>
            <family val="2"/>
          </rPr>
          <t>Please select from the drop-down list.
If 'other' is selected, please give details of awarding body.</t>
        </r>
      </text>
    </comment>
    <comment ref="B26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66" authorId="2">
      <text>
        <r>
          <rPr>
            <b/>
            <sz val="8"/>
            <color indexed="81"/>
            <rFont val="Tahoma"/>
            <family val="2"/>
          </rPr>
          <t>Please select the result of the examination from the drop-down list.</t>
        </r>
      </text>
    </comment>
    <comment ref="B267" authorId="1">
      <text>
        <r>
          <rPr>
            <b/>
            <sz val="8"/>
            <color indexed="81"/>
            <rFont val="Tahoma"/>
            <family val="2"/>
          </rPr>
          <t xml:space="preserve">
If you have not yet been successful in a vocational graded examination, then leave this section blank.</t>
        </r>
      </text>
    </comment>
    <comment ref="B268" authorId="2">
      <text>
        <r>
          <rPr>
            <b/>
            <sz val="8"/>
            <color indexed="81"/>
            <rFont val="Tahoma"/>
            <family val="2"/>
          </rPr>
          <t>Please select from the drop-down list.
If 'other' is selected, please give details of awarding body.</t>
        </r>
      </text>
    </comment>
    <comment ref="B26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69" authorId="2">
      <text>
        <r>
          <rPr>
            <b/>
            <sz val="8"/>
            <color indexed="81"/>
            <rFont val="Tahoma"/>
            <family val="2"/>
          </rPr>
          <t>Please select the result of the examination from the drop-down list.</t>
        </r>
      </text>
    </comment>
    <comment ref="B27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7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27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288" authorId="0">
      <text>
        <r>
          <rPr>
            <b/>
            <sz val="9"/>
            <color indexed="81"/>
            <rFont val="Arial"/>
            <family val="2"/>
          </rPr>
          <t xml:space="preserve">
Instructions on completing the respective field.</t>
        </r>
        <r>
          <rPr>
            <sz val="9"/>
            <color indexed="81"/>
            <rFont val="Arial"/>
            <family val="2"/>
          </rPr>
          <t xml:space="preserve">
</t>
        </r>
      </text>
    </comment>
    <comment ref="B291" authorId="1">
      <text>
        <r>
          <rPr>
            <b/>
            <sz val="8"/>
            <color indexed="81"/>
            <rFont val="Tahoma"/>
            <family val="2"/>
          </rPr>
          <t>The Candidate ID is the permanent number that has been assigned to the Candidate by the RAD.</t>
        </r>
      </text>
    </comment>
    <comment ref="H291" authorId="1">
      <text>
        <r>
          <rPr>
            <b/>
            <sz val="8"/>
            <color indexed="81"/>
            <rFont val="Tahoma"/>
            <family val="2"/>
          </rPr>
          <t xml:space="preserve">Please select from the drop-down list on the Teacher Summary Sheet.
</t>
        </r>
      </text>
    </comment>
    <comment ref="K291" authorId="1">
      <text>
        <r>
          <rPr>
            <b/>
            <sz val="8"/>
            <color indexed="81"/>
            <rFont val="Tahoma"/>
            <family val="2"/>
          </rPr>
          <t>This is the venue at which the examination may take place.
Please select the preferred venue from the drop-down list on the Teacher Summary Sheet.</t>
        </r>
      </text>
    </comment>
    <comment ref="B29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29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29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297" authorId="2">
      <text>
        <r>
          <rPr>
            <b/>
            <sz val="8"/>
            <color indexed="81"/>
            <rFont val="Tahoma"/>
            <family val="2"/>
          </rPr>
          <t>On the Teacher Summary Sheet, please select whether the candidate is Male or Female as they are examined separately.</t>
        </r>
      </text>
    </comment>
    <comment ref="F29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29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29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300" authorId="2">
      <text>
        <r>
          <rPr>
            <b/>
            <sz val="8"/>
            <color indexed="81"/>
            <rFont val="Tahoma"/>
            <family val="2"/>
          </rPr>
          <t>Please select from the drop-down list.
If 'other' is selected, please give details of awarding body.</t>
        </r>
      </text>
    </comment>
    <comment ref="B30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301" authorId="2">
      <text>
        <r>
          <rPr>
            <b/>
            <sz val="8"/>
            <color indexed="81"/>
            <rFont val="Tahoma"/>
            <family val="2"/>
          </rPr>
          <t>Please select the result of the examination from the drop-down list.</t>
        </r>
      </text>
    </comment>
    <comment ref="B302" authorId="1">
      <text>
        <r>
          <rPr>
            <b/>
            <sz val="8"/>
            <color indexed="81"/>
            <rFont val="Tahoma"/>
            <family val="2"/>
          </rPr>
          <t xml:space="preserve">
If you have not yet been successful in a vocational graded examination, then leave this section blank.</t>
        </r>
      </text>
    </comment>
    <comment ref="B303" authorId="2">
      <text>
        <r>
          <rPr>
            <b/>
            <sz val="8"/>
            <color indexed="81"/>
            <rFont val="Tahoma"/>
            <family val="2"/>
          </rPr>
          <t>Please select from the drop-down list.
If 'other' is selected, please give details of awarding body.</t>
        </r>
      </text>
    </comment>
    <comment ref="B30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304" authorId="2">
      <text>
        <r>
          <rPr>
            <b/>
            <sz val="8"/>
            <color indexed="81"/>
            <rFont val="Tahoma"/>
            <family val="2"/>
          </rPr>
          <t>Please select the result of the examination from the drop-down list.</t>
        </r>
      </text>
    </comment>
    <comment ref="B30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30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31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323" authorId="0">
      <text>
        <r>
          <rPr>
            <b/>
            <sz val="9"/>
            <color indexed="81"/>
            <rFont val="Arial"/>
            <family val="2"/>
          </rPr>
          <t xml:space="preserve">
Instructions on completing the respective field.</t>
        </r>
        <r>
          <rPr>
            <sz val="9"/>
            <color indexed="81"/>
            <rFont val="Arial"/>
            <family val="2"/>
          </rPr>
          <t xml:space="preserve">
</t>
        </r>
      </text>
    </comment>
    <comment ref="B326" authorId="1">
      <text>
        <r>
          <rPr>
            <b/>
            <sz val="8"/>
            <color indexed="81"/>
            <rFont val="Tahoma"/>
            <family val="2"/>
          </rPr>
          <t>The Candidate ID is the permanent number that has been assigned to the Candidate by the RAD.</t>
        </r>
      </text>
    </comment>
    <comment ref="H326" authorId="1">
      <text>
        <r>
          <rPr>
            <b/>
            <sz val="8"/>
            <color indexed="81"/>
            <rFont val="Tahoma"/>
            <family val="2"/>
          </rPr>
          <t xml:space="preserve">Please select from the drop-down list on the Teacher Summary Sheet.
</t>
        </r>
      </text>
    </comment>
    <comment ref="K326" authorId="1">
      <text>
        <r>
          <rPr>
            <b/>
            <sz val="8"/>
            <color indexed="81"/>
            <rFont val="Tahoma"/>
            <family val="2"/>
          </rPr>
          <t>This is the venue at which the examination may take place.
Please select the preferred venue from the drop-down list on the Teacher Summary Sheet.</t>
        </r>
      </text>
    </comment>
    <comment ref="B32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32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33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332" authorId="2">
      <text>
        <r>
          <rPr>
            <b/>
            <sz val="8"/>
            <color indexed="81"/>
            <rFont val="Tahoma"/>
            <family val="2"/>
          </rPr>
          <t>On the Teacher Summary Sheet, please select whether the candidate is Male or Female as they are examined separately.</t>
        </r>
      </text>
    </comment>
    <comment ref="F33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33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33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335" authorId="2">
      <text>
        <r>
          <rPr>
            <b/>
            <sz val="8"/>
            <color indexed="81"/>
            <rFont val="Tahoma"/>
            <family val="2"/>
          </rPr>
          <t>Please select from the drop-down list.
If 'other' is selected, please give details of awarding body.</t>
        </r>
      </text>
    </comment>
    <comment ref="B33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336" authorId="2">
      <text>
        <r>
          <rPr>
            <b/>
            <sz val="8"/>
            <color indexed="81"/>
            <rFont val="Tahoma"/>
            <family val="2"/>
          </rPr>
          <t>Please select the result of the examination from the drop-down list.</t>
        </r>
      </text>
    </comment>
    <comment ref="B337" authorId="1">
      <text>
        <r>
          <rPr>
            <b/>
            <sz val="8"/>
            <color indexed="81"/>
            <rFont val="Tahoma"/>
            <family val="2"/>
          </rPr>
          <t xml:space="preserve">
If you have not yet been successful in a vocational graded examination, then leave this section blank.</t>
        </r>
      </text>
    </comment>
    <comment ref="B338" authorId="2">
      <text>
        <r>
          <rPr>
            <b/>
            <sz val="8"/>
            <color indexed="81"/>
            <rFont val="Tahoma"/>
            <family val="2"/>
          </rPr>
          <t>Please select from the drop-down list.
If 'other' is selected, please give details of awarding body.</t>
        </r>
      </text>
    </comment>
    <comment ref="B33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339" authorId="2">
      <text>
        <r>
          <rPr>
            <b/>
            <sz val="8"/>
            <color indexed="81"/>
            <rFont val="Tahoma"/>
            <family val="2"/>
          </rPr>
          <t>Please select the result of the examination from the drop-down list.</t>
        </r>
      </text>
    </comment>
    <comment ref="B34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34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34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358" authorId="0">
      <text>
        <r>
          <rPr>
            <b/>
            <sz val="9"/>
            <color indexed="81"/>
            <rFont val="Arial"/>
            <family val="2"/>
          </rPr>
          <t xml:space="preserve">
Instructions on completing the respective field.</t>
        </r>
        <r>
          <rPr>
            <sz val="9"/>
            <color indexed="81"/>
            <rFont val="Arial"/>
            <family val="2"/>
          </rPr>
          <t xml:space="preserve">
</t>
        </r>
      </text>
    </comment>
    <comment ref="B361" authorId="1">
      <text>
        <r>
          <rPr>
            <b/>
            <sz val="8"/>
            <color indexed="81"/>
            <rFont val="Tahoma"/>
            <family val="2"/>
          </rPr>
          <t>The Candidate ID is the permanent number that has been assigned to the Candidate by the RAD.</t>
        </r>
      </text>
    </comment>
    <comment ref="H361" authorId="1">
      <text>
        <r>
          <rPr>
            <b/>
            <sz val="8"/>
            <color indexed="81"/>
            <rFont val="Tahoma"/>
            <family val="2"/>
          </rPr>
          <t xml:space="preserve">Please select from the drop-down list on the Teacher Summary Sheet.
</t>
        </r>
      </text>
    </comment>
    <comment ref="K361" authorId="1">
      <text>
        <r>
          <rPr>
            <b/>
            <sz val="8"/>
            <color indexed="81"/>
            <rFont val="Tahoma"/>
            <family val="2"/>
          </rPr>
          <t>This is the venue at which the examination may take place.
Please select the preferred venue from the drop-down list on the Teacher Summary Sheet.</t>
        </r>
      </text>
    </comment>
    <comment ref="B36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36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36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367" authorId="2">
      <text>
        <r>
          <rPr>
            <b/>
            <sz val="8"/>
            <color indexed="81"/>
            <rFont val="Tahoma"/>
            <family val="2"/>
          </rPr>
          <t>On the Teacher Summary Sheet, please select whether the candidate is Male or Female as they are examined separately.</t>
        </r>
      </text>
    </comment>
    <comment ref="F36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36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36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370" authorId="2">
      <text>
        <r>
          <rPr>
            <b/>
            <sz val="8"/>
            <color indexed="81"/>
            <rFont val="Tahoma"/>
            <family val="2"/>
          </rPr>
          <t>Please select from the drop-down list.
If 'other' is selected, please give details of awarding body.</t>
        </r>
      </text>
    </comment>
    <comment ref="B37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371" authorId="2">
      <text>
        <r>
          <rPr>
            <b/>
            <sz val="8"/>
            <color indexed="81"/>
            <rFont val="Tahoma"/>
            <family val="2"/>
          </rPr>
          <t>Please select the result of the examination from the drop-down list.</t>
        </r>
      </text>
    </comment>
    <comment ref="B372" authorId="1">
      <text>
        <r>
          <rPr>
            <b/>
            <sz val="8"/>
            <color indexed="81"/>
            <rFont val="Tahoma"/>
            <family val="2"/>
          </rPr>
          <t xml:space="preserve">
If you have not yet been successful in a vocational graded examination, then leave this section blank.</t>
        </r>
      </text>
    </comment>
    <comment ref="B373" authorId="2">
      <text>
        <r>
          <rPr>
            <b/>
            <sz val="8"/>
            <color indexed="81"/>
            <rFont val="Tahoma"/>
            <family val="2"/>
          </rPr>
          <t>Please select from the drop-down list.
If 'other' is selected, please give details of awarding body.</t>
        </r>
      </text>
    </comment>
    <comment ref="B37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374" authorId="2">
      <text>
        <r>
          <rPr>
            <b/>
            <sz val="8"/>
            <color indexed="81"/>
            <rFont val="Tahoma"/>
            <family val="2"/>
          </rPr>
          <t>Please select the result of the examination from the drop-down list.</t>
        </r>
      </text>
    </comment>
    <comment ref="B37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37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38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393" authorId="0">
      <text>
        <r>
          <rPr>
            <b/>
            <sz val="9"/>
            <color indexed="81"/>
            <rFont val="Arial"/>
            <family val="2"/>
          </rPr>
          <t xml:space="preserve">
Instructions on completing the respective field.</t>
        </r>
        <r>
          <rPr>
            <sz val="9"/>
            <color indexed="81"/>
            <rFont val="Arial"/>
            <family val="2"/>
          </rPr>
          <t xml:space="preserve">
</t>
        </r>
      </text>
    </comment>
    <comment ref="B396" authorId="1">
      <text>
        <r>
          <rPr>
            <b/>
            <sz val="8"/>
            <color indexed="81"/>
            <rFont val="Tahoma"/>
            <family val="2"/>
          </rPr>
          <t>The Candidate ID is the permanent number that has been assigned to the Candidate by the RAD.</t>
        </r>
      </text>
    </comment>
    <comment ref="H396" authorId="1">
      <text>
        <r>
          <rPr>
            <b/>
            <sz val="8"/>
            <color indexed="81"/>
            <rFont val="Tahoma"/>
            <family val="2"/>
          </rPr>
          <t xml:space="preserve">Please select from the drop-down list on the Teacher Summary Sheet.
</t>
        </r>
      </text>
    </comment>
    <comment ref="K396" authorId="1">
      <text>
        <r>
          <rPr>
            <b/>
            <sz val="8"/>
            <color indexed="81"/>
            <rFont val="Tahoma"/>
            <family val="2"/>
          </rPr>
          <t>This is the venue at which the examination may take place.
Please select the preferred venue from the drop-down list on the Teacher Summary Sheet.</t>
        </r>
      </text>
    </comment>
    <comment ref="B39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39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40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402" authorId="2">
      <text>
        <r>
          <rPr>
            <b/>
            <sz val="8"/>
            <color indexed="81"/>
            <rFont val="Tahoma"/>
            <family val="2"/>
          </rPr>
          <t>On the Teacher Summary Sheet, please select whether the candidate is Male or Female as they are examined separately.</t>
        </r>
      </text>
    </comment>
    <comment ref="F40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40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40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405" authorId="2">
      <text>
        <r>
          <rPr>
            <b/>
            <sz val="8"/>
            <color indexed="81"/>
            <rFont val="Tahoma"/>
            <family val="2"/>
          </rPr>
          <t>Please select from the drop-down list.
If 'other' is selected, please give details of awarding body.</t>
        </r>
      </text>
    </comment>
    <comment ref="B40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406" authorId="2">
      <text>
        <r>
          <rPr>
            <b/>
            <sz val="8"/>
            <color indexed="81"/>
            <rFont val="Tahoma"/>
            <family val="2"/>
          </rPr>
          <t>Please select the result of the examination from the drop-down list.</t>
        </r>
      </text>
    </comment>
    <comment ref="B407" authorId="1">
      <text>
        <r>
          <rPr>
            <b/>
            <sz val="8"/>
            <color indexed="81"/>
            <rFont val="Tahoma"/>
            <family val="2"/>
          </rPr>
          <t xml:space="preserve">
If you have not yet been successful in a vocational graded examination, then leave this section blank.</t>
        </r>
      </text>
    </comment>
    <comment ref="B408" authorId="2">
      <text>
        <r>
          <rPr>
            <b/>
            <sz val="8"/>
            <color indexed="81"/>
            <rFont val="Tahoma"/>
            <family val="2"/>
          </rPr>
          <t>Please select from the drop-down list.
If 'other' is selected, please give details of awarding body.</t>
        </r>
      </text>
    </comment>
    <comment ref="B40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409" authorId="2">
      <text>
        <r>
          <rPr>
            <b/>
            <sz val="8"/>
            <color indexed="81"/>
            <rFont val="Tahoma"/>
            <family val="2"/>
          </rPr>
          <t>Please select the result of the examination from the drop-down list.</t>
        </r>
      </text>
    </comment>
    <comment ref="B41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41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41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428" authorId="0">
      <text>
        <r>
          <rPr>
            <b/>
            <sz val="9"/>
            <color indexed="81"/>
            <rFont val="Arial"/>
            <family val="2"/>
          </rPr>
          <t xml:space="preserve">
Instructions on completing the respective field.</t>
        </r>
        <r>
          <rPr>
            <sz val="9"/>
            <color indexed="81"/>
            <rFont val="Arial"/>
            <family val="2"/>
          </rPr>
          <t xml:space="preserve">
</t>
        </r>
      </text>
    </comment>
    <comment ref="B431" authorId="1">
      <text>
        <r>
          <rPr>
            <b/>
            <sz val="8"/>
            <color indexed="81"/>
            <rFont val="Tahoma"/>
            <family val="2"/>
          </rPr>
          <t>The Candidate ID is the permanent number that has been assigned to the Candidate by the RAD.</t>
        </r>
      </text>
    </comment>
    <comment ref="H431" authorId="1">
      <text>
        <r>
          <rPr>
            <b/>
            <sz val="8"/>
            <color indexed="81"/>
            <rFont val="Tahoma"/>
            <family val="2"/>
          </rPr>
          <t xml:space="preserve">Please select from the drop-down list on the Teacher Summary Sheet.
</t>
        </r>
      </text>
    </comment>
    <comment ref="K431" authorId="1">
      <text>
        <r>
          <rPr>
            <b/>
            <sz val="8"/>
            <color indexed="81"/>
            <rFont val="Tahoma"/>
            <family val="2"/>
          </rPr>
          <t>This is the venue at which the examination may take place.
Please select the preferred venue from the drop-down list on the Teacher Summary Sheet.</t>
        </r>
      </text>
    </comment>
    <comment ref="B43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43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43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437" authorId="2">
      <text>
        <r>
          <rPr>
            <b/>
            <sz val="8"/>
            <color indexed="81"/>
            <rFont val="Tahoma"/>
            <family val="2"/>
          </rPr>
          <t>On the Teacher Summary Sheet, please select whether the candidate is Male or Female as they are examined separately.</t>
        </r>
      </text>
    </comment>
    <comment ref="F43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43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43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440" authorId="2">
      <text>
        <r>
          <rPr>
            <b/>
            <sz val="8"/>
            <color indexed="81"/>
            <rFont val="Tahoma"/>
            <family val="2"/>
          </rPr>
          <t>Please select from the drop-down list.
If 'other' is selected, please give details of awarding body.</t>
        </r>
      </text>
    </comment>
    <comment ref="B44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441" authorId="2">
      <text>
        <r>
          <rPr>
            <b/>
            <sz val="8"/>
            <color indexed="81"/>
            <rFont val="Tahoma"/>
            <family val="2"/>
          </rPr>
          <t>Please select the result of the examination from the drop-down list.</t>
        </r>
      </text>
    </comment>
    <comment ref="B442" authorId="1">
      <text>
        <r>
          <rPr>
            <b/>
            <sz val="8"/>
            <color indexed="81"/>
            <rFont val="Tahoma"/>
            <family val="2"/>
          </rPr>
          <t xml:space="preserve">
If you have not yet been successful in a vocational graded examination, then leave this section blank.</t>
        </r>
      </text>
    </comment>
    <comment ref="B443" authorId="2">
      <text>
        <r>
          <rPr>
            <b/>
            <sz val="8"/>
            <color indexed="81"/>
            <rFont val="Tahoma"/>
            <family val="2"/>
          </rPr>
          <t>Please select from the drop-down list.
If 'other' is selected, please give details of awarding body.</t>
        </r>
      </text>
    </comment>
    <comment ref="B44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444" authorId="2">
      <text>
        <r>
          <rPr>
            <b/>
            <sz val="8"/>
            <color indexed="81"/>
            <rFont val="Tahoma"/>
            <family val="2"/>
          </rPr>
          <t>Please select the result of the examination from the drop-down list.</t>
        </r>
      </text>
    </comment>
    <comment ref="B44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44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45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463" authorId="0">
      <text>
        <r>
          <rPr>
            <b/>
            <sz val="9"/>
            <color indexed="81"/>
            <rFont val="Arial"/>
            <family val="2"/>
          </rPr>
          <t xml:space="preserve">
Instructions on completing the respective field.</t>
        </r>
        <r>
          <rPr>
            <sz val="9"/>
            <color indexed="81"/>
            <rFont val="Arial"/>
            <family val="2"/>
          </rPr>
          <t xml:space="preserve">
</t>
        </r>
      </text>
    </comment>
    <comment ref="B466" authorId="1">
      <text>
        <r>
          <rPr>
            <b/>
            <sz val="8"/>
            <color indexed="81"/>
            <rFont val="Tahoma"/>
            <family val="2"/>
          </rPr>
          <t>The Candidate ID is the permanent number that has been assigned to the Candidate by the RAD.</t>
        </r>
      </text>
    </comment>
    <comment ref="H466" authorId="1">
      <text>
        <r>
          <rPr>
            <b/>
            <sz val="8"/>
            <color indexed="81"/>
            <rFont val="Tahoma"/>
            <family val="2"/>
          </rPr>
          <t xml:space="preserve">Please select from the drop-down list on the Teacher Summary Sheet.
</t>
        </r>
      </text>
    </comment>
    <comment ref="K466" authorId="1">
      <text>
        <r>
          <rPr>
            <b/>
            <sz val="8"/>
            <color indexed="81"/>
            <rFont val="Tahoma"/>
            <family val="2"/>
          </rPr>
          <t>This is the venue at which the examination may take place.
Please select the preferred venue from the drop-down list on the Teacher Summary Sheet.</t>
        </r>
      </text>
    </comment>
    <comment ref="B46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46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47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472" authorId="2">
      <text>
        <r>
          <rPr>
            <b/>
            <sz val="8"/>
            <color indexed="81"/>
            <rFont val="Tahoma"/>
            <family val="2"/>
          </rPr>
          <t>On the Teacher Summary Sheet, please select whether the candidate is Male or Female as they are examined separately.</t>
        </r>
      </text>
    </comment>
    <comment ref="F47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47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47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475" authorId="2">
      <text>
        <r>
          <rPr>
            <b/>
            <sz val="8"/>
            <color indexed="81"/>
            <rFont val="Tahoma"/>
            <family val="2"/>
          </rPr>
          <t>Please select from the drop-down list.
If 'other' is selected, please give details of awarding body.</t>
        </r>
      </text>
    </comment>
    <comment ref="B47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476" authorId="2">
      <text>
        <r>
          <rPr>
            <b/>
            <sz val="8"/>
            <color indexed="81"/>
            <rFont val="Tahoma"/>
            <family val="2"/>
          </rPr>
          <t>Please select the result of the examination from the drop-down list.</t>
        </r>
      </text>
    </comment>
    <comment ref="B477" authorId="1">
      <text>
        <r>
          <rPr>
            <b/>
            <sz val="8"/>
            <color indexed="81"/>
            <rFont val="Tahoma"/>
            <family val="2"/>
          </rPr>
          <t xml:space="preserve">
If you have not yet been successful in a vocational graded examination, then leave this section blank.</t>
        </r>
      </text>
    </comment>
    <comment ref="B478" authorId="2">
      <text>
        <r>
          <rPr>
            <b/>
            <sz val="8"/>
            <color indexed="81"/>
            <rFont val="Tahoma"/>
            <family val="2"/>
          </rPr>
          <t>Please select from the drop-down list.
If 'other' is selected, please give details of awarding body.</t>
        </r>
      </text>
    </comment>
    <comment ref="B47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479" authorId="2">
      <text>
        <r>
          <rPr>
            <b/>
            <sz val="8"/>
            <color indexed="81"/>
            <rFont val="Tahoma"/>
            <family val="2"/>
          </rPr>
          <t>Please select the result of the examination from the drop-down list.</t>
        </r>
      </text>
    </comment>
    <comment ref="B48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48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48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498" authorId="0">
      <text>
        <r>
          <rPr>
            <b/>
            <sz val="9"/>
            <color indexed="81"/>
            <rFont val="Arial"/>
            <family val="2"/>
          </rPr>
          <t xml:space="preserve">
Instructions on completing the respective field.</t>
        </r>
        <r>
          <rPr>
            <sz val="9"/>
            <color indexed="81"/>
            <rFont val="Arial"/>
            <family val="2"/>
          </rPr>
          <t xml:space="preserve">
</t>
        </r>
      </text>
    </comment>
    <comment ref="B501" authorId="1">
      <text>
        <r>
          <rPr>
            <b/>
            <sz val="8"/>
            <color indexed="81"/>
            <rFont val="Tahoma"/>
            <family val="2"/>
          </rPr>
          <t>The Candidate ID is the permanent number that has been assigned to the Candidate by the RAD.</t>
        </r>
      </text>
    </comment>
    <comment ref="H501" authorId="1">
      <text>
        <r>
          <rPr>
            <b/>
            <sz val="8"/>
            <color indexed="81"/>
            <rFont val="Tahoma"/>
            <family val="2"/>
          </rPr>
          <t xml:space="preserve">Please select from the drop-down list on the Teacher Summary Sheet.
</t>
        </r>
      </text>
    </comment>
    <comment ref="K501" authorId="1">
      <text>
        <r>
          <rPr>
            <b/>
            <sz val="8"/>
            <color indexed="81"/>
            <rFont val="Tahoma"/>
            <family val="2"/>
          </rPr>
          <t>This is the venue at which the examination may take place.
Please select the preferred venue from the drop-down list on the Teacher Summary Sheet.</t>
        </r>
      </text>
    </comment>
    <comment ref="B50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50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50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507" authorId="2">
      <text>
        <r>
          <rPr>
            <b/>
            <sz val="8"/>
            <color indexed="81"/>
            <rFont val="Tahoma"/>
            <family val="2"/>
          </rPr>
          <t>On the Teacher Summary Sheet, please select whether the candidate is Male or Female as they are examined separately.</t>
        </r>
      </text>
    </comment>
    <comment ref="F50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50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50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510" authorId="2">
      <text>
        <r>
          <rPr>
            <b/>
            <sz val="8"/>
            <color indexed="81"/>
            <rFont val="Tahoma"/>
            <family val="2"/>
          </rPr>
          <t>Please select from the drop-down list.
If 'other' is selected, please give details of awarding body.</t>
        </r>
      </text>
    </comment>
    <comment ref="B51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11" authorId="2">
      <text>
        <r>
          <rPr>
            <b/>
            <sz val="8"/>
            <color indexed="81"/>
            <rFont val="Tahoma"/>
            <family val="2"/>
          </rPr>
          <t>Please select the result of the examination from the drop-down list.</t>
        </r>
      </text>
    </comment>
    <comment ref="B512" authorId="1">
      <text>
        <r>
          <rPr>
            <b/>
            <sz val="8"/>
            <color indexed="81"/>
            <rFont val="Tahoma"/>
            <family val="2"/>
          </rPr>
          <t xml:space="preserve">
If you have not yet been successful in a vocational graded examination, then leave this section blank.</t>
        </r>
      </text>
    </comment>
    <comment ref="B513" authorId="2">
      <text>
        <r>
          <rPr>
            <b/>
            <sz val="8"/>
            <color indexed="81"/>
            <rFont val="Tahoma"/>
            <family val="2"/>
          </rPr>
          <t>Please select from the drop-down list.
If 'other' is selected, please give details of awarding body.</t>
        </r>
      </text>
    </comment>
    <comment ref="B51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14" authorId="2">
      <text>
        <r>
          <rPr>
            <b/>
            <sz val="8"/>
            <color indexed="81"/>
            <rFont val="Tahoma"/>
            <family val="2"/>
          </rPr>
          <t>Please select the result of the examination from the drop-down list.</t>
        </r>
      </text>
    </comment>
    <comment ref="B51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51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52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533" authorId="0">
      <text>
        <r>
          <rPr>
            <b/>
            <sz val="9"/>
            <color indexed="81"/>
            <rFont val="Arial"/>
            <family val="2"/>
          </rPr>
          <t xml:space="preserve">
Instructions on completing the respective field.</t>
        </r>
        <r>
          <rPr>
            <sz val="9"/>
            <color indexed="81"/>
            <rFont val="Arial"/>
            <family val="2"/>
          </rPr>
          <t xml:space="preserve">
</t>
        </r>
      </text>
    </comment>
    <comment ref="B536" authorId="1">
      <text>
        <r>
          <rPr>
            <b/>
            <sz val="8"/>
            <color indexed="81"/>
            <rFont val="Tahoma"/>
            <family val="2"/>
          </rPr>
          <t>The Candidate ID is the permanent number that has been assigned to the Candidate by the RAD.</t>
        </r>
      </text>
    </comment>
    <comment ref="H536" authorId="1">
      <text>
        <r>
          <rPr>
            <b/>
            <sz val="8"/>
            <color indexed="81"/>
            <rFont val="Tahoma"/>
            <family val="2"/>
          </rPr>
          <t xml:space="preserve">Please select from the drop-down list on the Teacher Summary Sheet.
</t>
        </r>
      </text>
    </comment>
    <comment ref="K536" authorId="1">
      <text>
        <r>
          <rPr>
            <b/>
            <sz val="8"/>
            <color indexed="81"/>
            <rFont val="Tahoma"/>
            <family val="2"/>
          </rPr>
          <t>This is the venue at which the examination may take place.
Please select the preferred venue from the drop-down list on the Teacher Summary Sheet.</t>
        </r>
      </text>
    </comment>
    <comment ref="B53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53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54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542" authorId="2">
      <text>
        <r>
          <rPr>
            <b/>
            <sz val="8"/>
            <color indexed="81"/>
            <rFont val="Tahoma"/>
            <family val="2"/>
          </rPr>
          <t>On the Teacher Summary Sheet, please select whether the candidate is Male or Female as they are examined separately.</t>
        </r>
      </text>
    </comment>
    <comment ref="F54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54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54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545" authorId="2">
      <text>
        <r>
          <rPr>
            <b/>
            <sz val="8"/>
            <color indexed="81"/>
            <rFont val="Tahoma"/>
            <family val="2"/>
          </rPr>
          <t>Please select from the drop-down list.
If 'other' is selected, please give details of awarding body.</t>
        </r>
      </text>
    </comment>
    <comment ref="B54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46" authorId="2">
      <text>
        <r>
          <rPr>
            <b/>
            <sz val="8"/>
            <color indexed="81"/>
            <rFont val="Tahoma"/>
            <family val="2"/>
          </rPr>
          <t>Please select the result of the examination from the drop-down list.</t>
        </r>
      </text>
    </comment>
    <comment ref="B547" authorId="1">
      <text>
        <r>
          <rPr>
            <b/>
            <sz val="8"/>
            <color indexed="81"/>
            <rFont val="Tahoma"/>
            <family val="2"/>
          </rPr>
          <t xml:space="preserve">
If you have not yet been successful in a vocational graded examination, then leave this section blank.</t>
        </r>
      </text>
    </comment>
    <comment ref="B548" authorId="2">
      <text>
        <r>
          <rPr>
            <b/>
            <sz val="8"/>
            <color indexed="81"/>
            <rFont val="Tahoma"/>
            <family val="2"/>
          </rPr>
          <t>Please select from the drop-down list.
If 'other' is selected, please give details of awarding body.</t>
        </r>
      </text>
    </comment>
    <comment ref="B54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49" authorId="2">
      <text>
        <r>
          <rPr>
            <b/>
            <sz val="8"/>
            <color indexed="81"/>
            <rFont val="Tahoma"/>
            <family val="2"/>
          </rPr>
          <t>Please select the result of the examination from the drop-down list.</t>
        </r>
      </text>
    </comment>
    <comment ref="B55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55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55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568" authorId="0">
      <text>
        <r>
          <rPr>
            <b/>
            <sz val="9"/>
            <color indexed="81"/>
            <rFont val="Arial"/>
            <family val="2"/>
          </rPr>
          <t xml:space="preserve">
Instructions on completing the respective field.</t>
        </r>
        <r>
          <rPr>
            <sz val="9"/>
            <color indexed="81"/>
            <rFont val="Arial"/>
            <family val="2"/>
          </rPr>
          <t xml:space="preserve">
</t>
        </r>
      </text>
    </comment>
    <comment ref="B571" authorId="1">
      <text>
        <r>
          <rPr>
            <b/>
            <sz val="8"/>
            <color indexed="81"/>
            <rFont val="Tahoma"/>
            <family val="2"/>
          </rPr>
          <t>The Candidate ID is the permanent number that has been assigned to the Candidate by the RAD.</t>
        </r>
      </text>
    </comment>
    <comment ref="H571" authorId="1">
      <text>
        <r>
          <rPr>
            <b/>
            <sz val="8"/>
            <color indexed="81"/>
            <rFont val="Tahoma"/>
            <family val="2"/>
          </rPr>
          <t xml:space="preserve">Please select from the drop-down list on the Teacher Summary Sheet.
</t>
        </r>
      </text>
    </comment>
    <comment ref="K571" authorId="1">
      <text>
        <r>
          <rPr>
            <b/>
            <sz val="8"/>
            <color indexed="81"/>
            <rFont val="Tahoma"/>
            <family val="2"/>
          </rPr>
          <t>This is the venue at which the examination may take place.
Please select the preferred venue from the drop-down list on the Teacher Summary Sheet.</t>
        </r>
      </text>
    </comment>
    <comment ref="B57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57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57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577" authorId="2">
      <text>
        <r>
          <rPr>
            <b/>
            <sz val="8"/>
            <color indexed="81"/>
            <rFont val="Tahoma"/>
            <family val="2"/>
          </rPr>
          <t>On the Teacher Summary Sheet, please select whether the candidate is Male or Female as they are examined separately.</t>
        </r>
      </text>
    </comment>
    <comment ref="F57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57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57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580" authorId="2">
      <text>
        <r>
          <rPr>
            <b/>
            <sz val="8"/>
            <color indexed="81"/>
            <rFont val="Tahoma"/>
            <family val="2"/>
          </rPr>
          <t>Please select from the drop-down list.
If 'other' is selected, please give details of awarding body.</t>
        </r>
      </text>
    </comment>
    <comment ref="B58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81" authorId="2">
      <text>
        <r>
          <rPr>
            <b/>
            <sz val="8"/>
            <color indexed="81"/>
            <rFont val="Tahoma"/>
            <family val="2"/>
          </rPr>
          <t>Please select the result of the examination from the drop-down list.</t>
        </r>
      </text>
    </comment>
    <comment ref="B582" authorId="1">
      <text>
        <r>
          <rPr>
            <b/>
            <sz val="8"/>
            <color indexed="81"/>
            <rFont val="Tahoma"/>
            <family val="2"/>
          </rPr>
          <t xml:space="preserve">
If you have not yet been successful in a vocational graded examination, then leave this section blank.</t>
        </r>
      </text>
    </comment>
    <comment ref="B583" authorId="2">
      <text>
        <r>
          <rPr>
            <b/>
            <sz val="8"/>
            <color indexed="81"/>
            <rFont val="Tahoma"/>
            <family val="2"/>
          </rPr>
          <t>Please select from the drop-down list.
If 'other' is selected, please give details of awarding body.</t>
        </r>
      </text>
    </comment>
    <comment ref="B58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584" authorId="2">
      <text>
        <r>
          <rPr>
            <b/>
            <sz val="8"/>
            <color indexed="81"/>
            <rFont val="Tahoma"/>
            <family val="2"/>
          </rPr>
          <t>Please select the result of the examination from the drop-down list.</t>
        </r>
      </text>
    </comment>
    <comment ref="B58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58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59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603" authorId="0">
      <text>
        <r>
          <rPr>
            <b/>
            <sz val="9"/>
            <color indexed="81"/>
            <rFont val="Arial"/>
            <family val="2"/>
          </rPr>
          <t xml:space="preserve">
Instructions on completing the respective field.</t>
        </r>
        <r>
          <rPr>
            <sz val="9"/>
            <color indexed="81"/>
            <rFont val="Arial"/>
            <family val="2"/>
          </rPr>
          <t xml:space="preserve">
</t>
        </r>
      </text>
    </comment>
    <comment ref="B606" authorId="1">
      <text>
        <r>
          <rPr>
            <b/>
            <sz val="8"/>
            <color indexed="81"/>
            <rFont val="Tahoma"/>
            <family val="2"/>
          </rPr>
          <t>The Candidate ID is the permanent number that has been assigned to the Candidate by the RAD.</t>
        </r>
      </text>
    </comment>
    <comment ref="H606" authorId="1">
      <text>
        <r>
          <rPr>
            <b/>
            <sz val="8"/>
            <color indexed="81"/>
            <rFont val="Tahoma"/>
            <family val="2"/>
          </rPr>
          <t xml:space="preserve">Please select from the drop-down list on the Teacher Summary Sheet.
</t>
        </r>
      </text>
    </comment>
    <comment ref="K606" authorId="1">
      <text>
        <r>
          <rPr>
            <b/>
            <sz val="8"/>
            <color indexed="81"/>
            <rFont val="Tahoma"/>
            <family val="2"/>
          </rPr>
          <t>This is the venue at which the examination may take place.
Please select the preferred venue from the drop-down list on the Teacher Summary Sheet.</t>
        </r>
      </text>
    </comment>
    <comment ref="B60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60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61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612" authorId="2">
      <text>
        <r>
          <rPr>
            <b/>
            <sz val="8"/>
            <color indexed="81"/>
            <rFont val="Tahoma"/>
            <family val="2"/>
          </rPr>
          <t>On the Teacher Summary Sheet, please select whether the candidate is Male or Female as they are examined separately.</t>
        </r>
      </text>
    </comment>
    <comment ref="F61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61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61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615" authorId="2">
      <text>
        <r>
          <rPr>
            <b/>
            <sz val="8"/>
            <color indexed="81"/>
            <rFont val="Tahoma"/>
            <family val="2"/>
          </rPr>
          <t>Please select from the drop-down list.
If 'other' is selected, please give details of awarding body.</t>
        </r>
      </text>
    </comment>
    <comment ref="B61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616" authorId="2">
      <text>
        <r>
          <rPr>
            <b/>
            <sz val="8"/>
            <color indexed="81"/>
            <rFont val="Tahoma"/>
            <family val="2"/>
          </rPr>
          <t>Please select the result of the examination from the drop-down list.</t>
        </r>
      </text>
    </comment>
    <comment ref="B617" authorId="1">
      <text>
        <r>
          <rPr>
            <b/>
            <sz val="8"/>
            <color indexed="81"/>
            <rFont val="Tahoma"/>
            <family val="2"/>
          </rPr>
          <t xml:space="preserve">
If you have not yet been successful in a vocational graded examination, then leave this section blank.</t>
        </r>
      </text>
    </comment>
    <comment ref="B618" authorId="2">
      <text>
        <r>
          <rPr>
            <b/>
            <sz val="8"/>
            <color indexed="81"/>
            <rFont val="Tahoma"/>
            <family val="2"/>
          </rPr>
          <t>Please select from the drop-down list.
If 'other' is selected, please give details of awarding body.</t>
        </r>
      </text>
    </comment>
    <comment ref="B61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619" authorId="2">
      <text>
        <r>
          <rPr>
            <b/>
            <sz val="8"/>
            <color indexed="81"/>
            <rFont val="Tahoma"/>
            <family val="2"/>
          </rPr>
          <t>Please select the result of the examination from the drop-down list.</t>
        </r>
      </text>
    </comment>
    <comment ref="B62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62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62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638" authorId="0">
      <text>
        <r>
          <rPr>
            <b/>
            <sz val="9"/>
            <color indexed="81"/>
            <rFont val="Arial"/>
            <family val="2"/>
          </rPr>
          <t xml:space="preserve">
Instructions on completing the respective field.</t>
        </r>
        <r>
          <rPr>
            <sz val="9"/>
            <color indexed="81"/>
            <rFont val="Arial"/>
            <family val="2"/>
          </rPr>
          <t xml:space="preserve">
</t>
        </r>
      </text>
    </comment>
    <comment ref="B641" authorId="1">
      <text>
        <r>
          <rPr>
            <b/>
            <sz val="8"/>
            <color indexed="81"/>
            <rFont val="Tahoma"/>
            <family val="2"/>
          </rPr>
          <t>The Candidate ID is the permanent number that has been assigned to the Candidate by the RAD.</t>
        </r>
      </text>
    </comment>
    <comment ref="H641" authorId="1">
      <text>
        <r>
          <rPr>
            <b/>
            <sz val="8"/>
            <color indexed="81"/>
            <rFont val="Tahoma"/>
            <family val="2"/>
          </rPr>
          <t xml:space="preserve">Please select from the drop-down list on the Teacher Summary Sheet.
</t>
        </r>
      </text>
    </comment>
    <comment ref="K641" authorId="1">
      <text>
        <r>
          <rPr>
            <b/>
            <sz val="8"/>
            <color indexed="81"/>
            <rFont val="Tahoma"/>
            <family val="2"/>
          </rPr>
          <t>This is the venue at which the examination may take place.
Please select the preferred venue from the drop-down list on the Teacher Summary Sheet.</t>
        </r>
      </text>
    </comment>
    <comment ref="B64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64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64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647" authorId="2">
      <text>
        <r>
          <rPr>
            <b/>
            <sz val="8"/>
            <color indexed="81"/>
            <rFont val="Tahoma"/>
            <family val="2"/>
          </rPr>
          <t>On the Teacher Summary Sheet, please select whether the candidate is Male or Female as they are examined separately.</t>
        </r>
      </text>
    </comment>
    <comment ref="F64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64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64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650" authorId="2">
      <text>
        <r>
          <rPr>
            <b/>
            <sz val="8"/>
            <color indexed="81"/>
            <rFont val="Tahoma"/>
            <family val="2"/>
          </rPr>
          <t>Please select from the drop-down list.
If 'other' is selected, please give details of awarding body.</t>
        </r>
      </text>
    </comment>
    <comment ref="B65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651" authorId="2">
      <text>
        <r>
          <rPr>
            <b/>
            <sz val="8"/>
            <color indexed="81"/>
            <rFont val="Tahoma"/>
            <family val="2"/>
          </rPr>
          <t>Please select the result of the examination from the drop-down list.</t>
        </r>
      </text>
    </comment>
    <comment ref="B652" authorId="1">
      <text>
        <r>
          <rPr>
            <b/>
            <sz val="8"/>
            <color indexed="81"/>
            <rFont val="Tahoma"/>
            <family val="2"/>
          </rPr>
          <t xml:space="preserve">
If you have not yet been successful in a vocational graded examination, then leave this section blank.</t>
        </r>
      </text>
    </comment>
    <comment ref="B653" authorId="2">
      <text>
        <r>
          <rPr>
            <b/>
            <sz val="8"/>
            <color indexed="81"/>
            <rFont val="Tahoma"/>
            <family val="2"/>
          </rPr>
          <t>Please select from the drop-down list.
If 'other' is selected, please give details of awarding body.</t>
        </r>
      </text>
    </comment>
    <comment ref="B65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654" authorId="2">
      <text>
        <r>
          <rPr>
            <b/>
            <sz val="8"/>
            <color indexed="81"/>
            <rFont val="Tahoma"/>
            <family val="2"/>
          </rPr>
          <t>Please select the result of the examination from the drop-down list.</t>
        </r>
      </text>
    </comment>
    <comment ref="B65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65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66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673" authorId="0">
      <text>
        <r>
          <rPr>
            <b/>
            <sz val="9"/>
            <color indexed="81"/>
            <rFont val="Arial"/>
            <family val="2"/>
          </rPr>
          <t xml:space="preserve">
Instructions on completing the respective field.</t>
        </r>
        <r>
          <rPr>
            <sz val="9"/>
            <color indexed="81"/>
            <rFont val="Arial"/>
            <family val="2"/>
          </rPr>
          <t xml:space="preserve">
</t>
        </r>
      </text>
    </comment>
    <comment ref="B676" authorId="1">
      <text>
        <r>
          <rPr>
            <b/>
            <sz val="8"/>
            <color indexed="81"/>
            <rFont val="Tahoma"/>
            <family val="2"/>
          </rPr>
          <t>The Candidate ID is the permanent number that has been assigned to the Candidate by the RAD.</t>
        </r>
      </text>
    </comment>
    <comment ref="H676" authorId="1">
      <text>
        <r>
          <rPr>
            <b/>
            <sz val="8"/>
            <color indexed="81"/>
            <rFont val="Tahoma"/>
            <family val="2"/>
          </rPr>
          <t xml:space="preserve">Please select from the drop-down list on the Teacher Summary Sheet.
</t>
        </r>
      </text>
    </comment>
    <comment ref="K676" authorId="1">
      <text>
        <r>
          <rPr>
            <b/>
            <sz val="8"/>
            <color indexed="81"/>
            <rFont val="Tahoma"/>
            <family val="2"/>
          </rPr>
          <t>This is the venue at which the examination may take place.
Please select the preferred venue from the drop-down list on the Teacher Summary Sheet.</t>
        </r>
      </text>
    </comment>
    <comment ref="B67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67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68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682" authorId="2">
      <text>
        <r>
          <rPr>
            <b/>
            <sz val="8"/>
            <color indexed="81"/>
            <rFont val="Tahoma"/>
            <family val="2"/>
          </rPr>
          <t>On the Teacher Summary Sheet, please select whether the candidate is Male or Female as they are examined separately.</t>
        </r>
      </text>
    </comment>
    <comment ref="F68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68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68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685" authorId="2">
      <text>
        <r>
          <rPr>
            <b/>
            <sz val="8"/>
            <color indexed="81"/>
            <rFont val="Tahoma"/>
            <family val="2"/>
          </rPr>
          <t>Please select from the drop-down list.
If 'other' is selected, please give details of awarding body.</t>
        </r>
      </text>
    </comment>
    <comment ref="B68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686" authorId="2">
      <text>
        <r>
          <rPr>
            <b/>
            <sz val="8"/>
            <color indexed="81"/>
            <rFont val="Tahoma"/>
            <family val="2"/>
          </rPr>
          <t>Please select the result of the examination from the drop-down list.</t>
        </r>
      </text>
    </comment>
    <comment ref="B687" authorId="1">
      <text>
        <r>
          <rPr>
            <b/>
            <sz val="8"/>
            <color indexed="81"/>
            <rFont val="Tahoma"/>
            <family val="2"/>
          </rPr>
          <t xml:space="preserve">
If you have not yet been successful in a vocational graded examination, then leave this section blank.</t>
        </r>
      </text>
    </comment>
    <comment ref="B688" authorId="2">
      <text>
        <r>
          <rPr>
            <b/>
            <sz val="8"/>
            <color indexed="81"/>
            <rFont val="Tahoma"/>
            <family val="2"/>
          </rPr>
          <t>Please select from the drop-down list.
If 'other' is selected, please give details of awarding body.</t>
        </r>
      </text>
    </comment>
    <comment ref="B68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689" authorId="2">
      <text>
        <r>
          <rPr>
            <b/>
            <sz val="8"/>
            <color indexed="81"/>
            <rFont val="Tahoma"/>
            <family val="2"/>
          </rPr>
          <t>Please select the result of the examination from the drop-down list.</t>
        </r>
      </text>
    </comment>
    <comment ref="B69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69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69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708" authorId="0">
      <text>
        <r>
          <rPr>
            <b/>
            <sz val="9"/>
            <color indexed="81"/>
            <rFont val="Arial"/>
            <family val="2"/>
          </rPr>
          <t xml:space="preserve">
Instructions on completing the respective field.</t>
        </r>
        <r>
          <rPr>
            <sz val="9"/>
            <color indexed="81"/>
            <rFont val="Arial"/>
            <family val="2"/>
          </rPr>
          <t xml:space="preserve">
</t>
        </r>
      </text>
    </comment>
    <comment ref="B711" authorId="1">
      <text>
        <r>
          <rPr>
            <b/>
            <sz val="8"/>
            <color indexed="81"/>
            <rFont val="Tahoma"/>
            <family val="2"/>
          </rPr>
          <t>The Candidate ID is the permanent number that has been assigned to the Candidate by the RAD.</t>
        </r>
      </text>
    </comment>
    <comment ref="H711" authorId="1">
      <text>
        <r>
          <rPr>
            <b/>
            <sz val="8"/>
            <color indexed="81"/>
            <rFont val="Tahoma"/>
            <family val="2"/>
          </rPr>
          <t xml:space="preserve">Please select from the drop-down list on the Teacher Summary Sheet.
</t>
        </r>
      </text>
    </comment>
    <comment ref="K711" authorId="1">
      <text>
        <r>
          <rPr>
            <b/>
            <sz val="8"/>
            <color indexed="81"/>
            <rFont val="Tahoma"/>
            <family val="2"/>
          </rPr>
          <t>This is the venue at which the examination may take place.
Please select the preferred venue from the drop-down list on the Teacher Summary Sheet.</t>
        </r>
      </text>
    </comment>
    <comment ref="B71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71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71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717" authorId="2">
      <text>
        <r>
          <rPr>
            <b/>
            <sz val="8"/>
            <color indexed="81"/>
            <rFont val="Tahoma"/>
            <family val="2"/>
          </rPr>
          <t>On the Teacher Summary Sheet, please select whether the candidate is Male or Female as they are examined separately.</t>
        </r>
      </text>
    </comment>
    <comment ref="F71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71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71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720" authorId="2">
      <text>
        <r>
          <rPr>
            <b/>
            <sz val="8"/>
            <color indexed="81"/>
            <rFont val="Tahoma"/>
            <family val="2"/>
          </rPr>
          <t>Please select from the drop-down list.
If 'other' is selected, please give details of awarding body.</t>
        </r>
      </text>
    </comment>
    <comment ref="B72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721" authorId="2">
      <text>
        <r>
          <rPr>
            <b/>
            <sz val="8"/>
            <color indexed="81"/>
            <rFont val="Tahoma"/>
            <family val="2"/>
          </rPr>
          <t>Please select the result of the examination from the drop-down list.</t>
        </r>
      </text>
    </comment>
    <comment ref="B722" authorId="1">
      <text>
        <r>
          <rPr>
            <b/>
            <sz val="8"/>
            <color indexed="81"/>
            <rFont val="Tahoma"/>
            <family val="2"/>
          </rPr>
          <t xml:space="preserve">
If you have not yet been successful in a vocational graded examination, then leave this section blank.</t>
        </r>
      </text>
    </comment>
    <comment ref="B723" authorId="2">
      <text>
        <r>
          <rPr>
            <b/>
            <sz val="8"/>
            <color indexed="81"/>
            <rFont val="Tahoma"/>
            <family val="2"/>
          </rPr>
          <t>Please select from the drop-down list.
If 'other' is selected, please give details of awarding body.</t>
        </r>
      </text>
    </comment>
    <comment ref="B72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724" authorId="2">
      <text>
        <r>
          <rPr>
            <b/>
            <sz val="8"/>
            <color indexed="81"/>
            <rFont val="Tahoma"/>
            <family val="2"/>
          </rPr>
          <t>Please select the result of the examination from the drop-down list.</t>
        </r>
      </text>
    </comment>
    <comment ref="B72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72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73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743" authorId="0">
      <text>
        <r>
          <rPr>
            <b/>
            <sz val="9"/>
            <color indexed="81"/>
            <rFont val="Arial"/>
            <family val="2"/>
          </rPr>
          <t xml:space="preserve">
Instructions on completing the respective field.</t>
        </r>
        <r>
          <rPr>
            <sz val="9"/>
            <color indexed="81"/>
            <rFont val="Arial"/>
            <family val="2"/>
          </rPr>
          <t xml:space="preserve">
</t>
        </r>
      </text>
    </comment>
    <comment ref="B746" authorId="1">
      <text>
        <r>
          <rPr>
            <b/>
            <sz val="8"/>
            <color indexed="81"/>
            <rFont val="Tahoma"/>
            <family val="2"/>
          </rPr>
          <t>The Candidate ID is the permanent number that has been assigned to the Candidate by the RAD.</t>
        </r>
      </text>
    </comment>
    <comment ref="H746" authorId="1">
      <text>
        <r>
          <rPr>
            <b/>
            <sz val="8"/>
            <color indexed="81"/>
            <rFont val="Tahoma"/>
            <family val="2"/>
          </rPr>
          <t xml:space="preserve">Please select from the drop-down list on the Teacher Summary Sheet.
</t>
        </r>
      </text>
    </comment>
    <comment ref="K746" authorId="1">
      <text>
        <r>
          <rPr>
            <b/>
            <sz val="8"/>
            <color indexed="81"/>
            <rFont val="Tahoma"/>
            <family val="2"/>
          </rPr>
          <t>This is the venue at which the examination may take place.
Please select the preferred venue from the drop-down list on the Teacher Summary Sheet.</t>
        </r>
      </text>
    </comment>
    <comment ref="B74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74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75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752" authorId="2">
      <text>
        <r>
          <rPr>
            <b/>
            <sz val="8"/>
            <color indexed="81"/>
            <rFont val="Tahoma"/>
            <family val="2"/>
          </rPr>
          <t>On the Teacher Summary Sheet, please select whether the candidate is Male or Female as they are examined separately.</t>
        </r>
      </text>
    </comment>
    <comment ref="F75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75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75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755" authorId="2">
      <text>
        <r>
          <rPr>
            <b/>
            <sz val="8"/>
            <color indexed="81"/>
            <rFont val="Tahoma"/>
            <family val="2"/>
          </rPr>
          <t>Please select from the drop-down list.
If 'other' is selected, please give details of awarding body.</t>
        </r>
      </text>
    </comment>
    <comment ref="B75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756" authorId="2">
      <text>
        <r>
          <rPr>
            <b/>
            <sz val="8"/>
            <color indexed="81"/>
            <rFont val="Tahoma"/>
            <family val="2"/>
          </rPr>
          <t>Please select the result of the examination from the drop-down list.</t>
        </r>
      </text>
    </comment>
    <comment ref="B757" authorId="1">
      <text>
        <r>
          <rPr>
            <b/>
            <sz val="8"/>
            <color indexed="81"/>
            <rFont val="Tahoma"/>
            <family val="2"/>
          </rPr>
          <t xml:space="preserve">
If you have not yet been successful in a vocational graded examination, then leave this section blank.</t>
        </r>
      </text>
    </comment>
    <comment ref="B758" authorId="2">
      <text>
        <r>
          <rPr>
            <b/>
            <sz val="8"/>
            <color indexed="81"/>
            <rFont val="Tahoma"/>
            <family val="2"/>
          </rPr>
          <t>Please select from the drop-down list.
If 'other' is selected, please give details of awarding body.</t>
        </r>
      </text>
    </comment>
    <comment ref="B75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759" authorId="2">
      <text>
        <r>
          <rPr>
            <b/>
            <sz val="8"/>
            <color indexed="81"/>
            <rFont val="Tahoma"/>
            <family val="2"/>
          </rPr>
          <t>Please select the result of the examination from the drop-down list.</t>
        </r>
      </text>
    </comment>
    <comment ref="B76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76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76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778" authorId="0">
      <text>
        <r>
          <rPr>
            <b/>
            <sz val="9"/>
            <color indexed="81"/>
            <rFont val="Arial"/>
            <family val="2"/>
          </rPr>
          <t xml:space="preserve">
Instructions on completing the respective field.</t>
        </r>
        <r>
          <rPr>
            <sz val="9"/>
            <color indexed="81"/>
            <rFont val="Arial"/>
            <family val="2"/>
          </rPr>
          <t xml:space="preserve">
</t>
        </r>
      </text>
    </comment>
    <comment ref="B781" authorId="1">
      <text>
        <r>
          <rPr>
            <b/>
            <sz val="8"/>
            <color indexed="81"/>
            <rFont val="Tahoma"/>
            <family val="2"/>
          </rPr>
          <t>The Candidate ID is the permanent number that has been assigned to the Candidate by the RAD.</t>
        </r>
      </text>
    </comment>
    <comment ref="H781" authorId="1">
      <text>
        <r>
          <rPr>
            <b/>
            <sz val="8"/>
            <color indexed="81"/>
            <rFont val="Tahoma"/>
            <family val="2"/>
          </rPr>
          <t xml:space="preserve">Please select from the drop-down list on the Teacher Summary Sheet.
</t>
        </r>
      </text>
    </comment>
    <comment ref="K781" authorId="1">
      <text>
        <r>
          <rPr>
            <b/>
            <sz val="8"/>
            <color indexed="81"/>
            <rFont val="Tahoma"/>
            <family val="2"/>
          </rPr>
          <t>This is the venue at which the examination may take place.
Please select the preferred venue from the drop-down list on the Teacher Summary Sheet.</t>
        </r>
      </text>
    </comment>
    <comment ref="B78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78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78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787" authorId="2">
      <text>
        <r>
          <rPr>
            <b/>
            <sz val="8"/>
            <color indexed="81"/>
            <rFont val="Tahoma"/>
            <family val="2"/>
          </rPr>
          <t>On the Teacher Summary Sheet, please select whether the candidate is Male or Female as they are examined separately.</t>
        </r>
      </text>
    </comment>
    <comment ref="F78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78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78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790" authorId="2">
      <text>
        <r>
          <rPr>
            <b/>
            <sz val="8"/>
            <color indexed="81"/>
            <rFont val="Tahoma"/>
            <family val="2"/>
          </rPr>
          <t>Please select from the drop-down list.
If 'other' is selected, please give details of awarding body.</t>
        </r>
      </text>
    </comment>
    <comment ref="B79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791" authorId="2">
      <text>
        <r>
          <rPr>
            <b/>
            <sz val="8"/>
            <color indexed="81"/>
            <rFont val="Tahoma"/>
            <family val="2"/>
          </rPr>
          <t>Please select the result of the examination from the drop-down list.</t>
        </r>
      </text>
    </comment>
    <comment ref="B792" authorId="1">
      <text>
        <r>
          <rPr>
            <b/>
            <sz val="8"/>
            <color indexed="81"/>
            <rFont val="Tahoma"/>
            <family val="2"/>
          </rPr>
          <t xml:space="preserve">
If you have not yet been successful in a vocational graded examination, then leave this section blank.</t>
        </r>
      </text>
    </comment>
    <comment ref="B793" authorId="2">
      <text>
        <r>
          <rPr>
            <b/>
            <sz val="8"/>
            <color indexed="81"/>
            <rFont val="Tahoma"/>
            <family val="2"/>
          </rPr>
          <t>Please select from the drop-down list.
If 'other' is selected, please give details of awarding body.</t>
        </r>
      </text>
    </comment>
    <comment ref="B79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794" authorId="2">
      <text>
        <r>
          <rPr>
            <b/>
            <sz val="8"/>
            <color indexed="81"/>
            <rFont val="Tahoma"/>
            <family val="2"/>
          </rPr>
          <t>Please select the result of the examination from the drop-down list.</t>
        </r>
      </text>
    </comment>
    <comment ref="B79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79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80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813" authorId="0">
      <text>
        <r>
          <rPr>
            <b/>
            <sz val="9"/>
            <color indexed="81"/>
            <rFont val="Arial"/>
            <family val="2"/>
          </rPr>
          <t xml:space="preserve">
Instructions on completing the respective field.</t>
        </r>
        <r>
          <rPr>
            <sz val="9"/>
            <color indexed="81"/>
            <rFont val="Arial"/>
            <family val="2"/>
          </rPr>
          <t xml:space="preserve">
</t>
        </r>
      </text>
    </comment>
    <comment ref="B816" authorId="1">
      <text>
        <r>
          <rPr>
            <b/>
            <sz val="8"/>
            <color indexed="81"/>
            <rFont val="Tahoma"/>
            <family val="2"/>
          </rPr>
          <t>The Candidate ID is the permanent number that has been assigned to the Candidate by the RAD.</t>
        </r>
      </text>
    </comment>
    <comment ref="H816" authorId="1">
      <text>
        <r>
          <rPr>
            <b/>
            <sz val="8"/>
            <color indexed="81"/>
            <rFont val="Tahoma"/>
            <family val="2"/>
          </rPr>
          <t xml:space="preserve">Please select from the drop-down list on the Teacher Summary Sheet.
</t>
        </r>
      </text>
    </comment>
    <comment ref="K816" authorId="1">
      <text>
        <r>
          <rPr>
            <b/>
            <sz val="8"/>
            <color indexed="81"/>
            <rFont val="Tahoma"/>
            <family val="2"/>
          </rPr>
          <t>This is the venue at which the examination may take place.
Please select the preferred venue from the drop-down list on the Teacher Summary Sheet.</t>
        </r>
      </text>
    </comment>
    <comment ref="B81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81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82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822" authorId="2">
      <text>
        <r>
          <rPr>
            <b/>
            <sz val="8"/>
            <color indexed="81"/>
            <rFont val="Tahoma"/>
            <family val="2"/>
          </rPr>
          <t>On the Teacher Summary Sheet, please select whether the candidate is Male or Female as they are examined separately.</t>
        </r>
      </text>
    </comment>
    <comment ref="F82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82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82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825" authorId="2">
      <text>
        <r>
          <rPr>
            <b/>
            <sz val="8"/>
            <color indexed="81"/>
            <rFont val="Tahoma"/>
            <family val="2"/>
          </rPr>
          <t>Please select from the drop-down list.
If 'other' is selected, please give details of awarding body.</t>
        </r>
      </text>
    </comment>
    <comment ref="B82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826" authorId="2">
      <text>
        <r>
          <rPr>
            <b/>
            <sz val="8"/>
            <color indexed="81"/>
            <rFont val="Tahoma"/>
            <family val="2"/>
          </rPr>
          <t>Please select the result of the examination from the drop-down list.</t>
        </r>
      </text>
    </comment>
    <comment ref="B827" authorId="1">
      <text>
        <r>
          <rPr>
            <b/>
            <sz val="8"/>
            <color indexed="81"/>
            <rFont val="Tahoma"/>
            <family val="2"/>
          </rPr>
          <t xml:space="preserve">
If you have not yet been successful in a vocational graded examination, then leave this section blank.</t>
        </r>
      </text>
    </comment>
    <comment ref="B828" authorId="2">
      <text>
        <r>
          <rPr>
            <b/>
            <sz val="8"/>
            <color indexed="81"/>
            <rFont val="Tahoma"/>
            <family val="2"/>
          </rPr>
          <t>Please select from the drop-down list.
If 'other' is selected, please give details of awarding body.</t>
        </r>
      </text>
    </comment>
    <comment ref="B82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829" authorId="2">
      <text>
        <r>
          <rPr>
            <b/>
            <sz val="8"/>
            <color indexed="81"/>
            <rFont val="Tahoma"/>
            <family val="2"/>
          </rPr>
          <t>Please select the result of the examination from the drop-down list.</t>
        </r>
      </text>
    </comment>
    <comment ref="B83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83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83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848" authorId="0">
      <text>
        <r>
          <rPr>
            <b/>
            <sz val="9"/>
            <color indexed="81"/>
            <rFont val="Arial"/>
            <family val="2"/>
          </rPr>
          <t xml:space="preserve">
Instructions on completing the respective field.</t>
        </r>
        <r>
          <rPr>
            <sz val="9"/>
            <color indexed="81"/>
            <rFont val="Arial"/>
            <family val="2"/>
          </rPr>
          <t xml:space="preserve">
</t>
        </r>
      </text>
    </comment>
    <comment ref="B851" authorId="1">
      <text>
        <r>
          <rPr>
            <b/>
            <sz val="8"/>
            <color indexed="81"/>
            <rFont val="Tahoma"/>
            <family val="2"/>
          </rPr>
          <t>The Candidate ID is the permanent number that has been assigned to the Candidate by the RAD.</t>
        </r>
      </text>
    </comment>
    <comment ref="H851" authorId="1">
      <text>
        <r>
          <rPr>
            <b/>
            <sz val="8"/>
            <color indexed="81"/>
            <rFont val="Tahoma"/>
            <family val="2"/>
          </rPr>
          <t xml:space="preserve">Please select from the drop-down list on the Teacher Summary Sheet.
</t>
        </r>
      </text>
    </comment>
    <comment ref="K851" authorId="1">
      <text>
        <r>
          <rPr>
            <b/>
            <sz val="8"/>
            <color indexed="81"/>
            <rFont val="Tahoma"/>
            <family val="2"/>
          </rPr>
          <t>This is the venue at which the examination may take place.
Please select the preferred venue from the drop-down list on the Teacher Summary Sheet.</t>
        </r>
      </text>
    </comment>
    <comment ref="B85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85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85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857" authorId="2">
      <text>
        <r>
          <rPr>
            <b/>
            <sz val="8"/>
            <color indexed="81"/>
            <rFont val="Tahoma"/>
            <family val="2"/>
          </rPr>
          <t>On the Teacher Summary Sheet, please select whether the candidate is Male or Female as they are examined separately.</t>
        </r>
      </text>
    </comment>
    <comment ref="F85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85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85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860" authorId="2">
      <text>
        <r>
          <rPr>
            <b/>
            <sz val="8"/>
            <color indexed="81"/>
            <rFont val="Tahoma"/>
            <family val="2"/>
          </rPr>
          <t>Please select from the drop-down list.
If 'other' is selected, please give details of awarding body.</t>
        </r>
      </text>
    </comment>
    <comment ref="B86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861" authorId="2">
      <text>
        <r>
          <rPr>
            <b/>
            <sz val="8"/>
            <color indexed="81"/>
            <rFont val="Tahoma"/>
            <family val="2"/>
          </rPr>
          <t>Please select the result of the examination from the drop-down list.</t>
        </r>
      </text>
    </comment>
    <comment ref="B862" authorId="1">
      <text>
        <r>
          <rPr>
            <b/>
            <sz val="8"/>
            <color indexed="81"/>
            <rFont val="Tahoma"/>
            <family val="2"/>
          </rPr>
          <t xml:space="preserve">
If you have not yet been successful in a vocational graded examination, then leave this section blank.</t>
        </r>
      </text>
    </comment>
    <comment ref="B863" authorId="2">
      <text>
        <r>
          <rPr>
            <b/>
            <sz val="8"/>
            <color indexed="81"/>
            <rFont val="Tahoma"/>
            <family val="2"/>
          </rPr>
          <t>Please select from the drop-down list.
If 'other' is selected, please give details of awarding body.</t>
        </r>
      </text>
    </comment>
    <comment ref="B86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864" authorId="2">
      <text>
        <r>
          <rPr>
            <b/>
            <sz val="8"/>
            <color indexed="81"/>
            <rFont val="Tahoma"/>
            <family val="2"/>
          </rPr>
          <t>Please select the result of the examination from the drop-down list.</t>
        </r>
      </text>
    </comment>
    <comment ref="B86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86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87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883" authorId="0">
      <text>
        <r>
          <rPr>
            <b/>
            <sz val="9"/>
            <color indexed="81"/>
            <rFont val="Arial"/>
            <family val="2"/>
          </rPr>
          <t xml:space="preserve">
Instructions on completing the respective field.</t>
        </r>
        <r>
          <rPr>
            <sz val="9"/>
            <color indexed="81"/>
            <rFont val="Arial"/>
            <family val="2"/>
          </rPr>
          <t xml:space="preserve">
</t>
        </r>
      </text>
    </comment>
    <comment ref="B886" authorId="1">
      <text>
        <r>
          <rPr>
            <b/>
            <sz val="8"/>
            <color indexed="81"/>
            <rFont val="Tahoma"/>
            <family val="2"/>
          </rPr>
          <t>The Candidate ID is the permanent number that has been assigned to the Candidate by the RAD.</t>
        </r>
      </text>
    </comment>
    <comment ref="H886" authorId="1">
      <text>
        <r>
          <rPr>
            <b/>
            <sz val="8"/>
            <color indexed="81"/>
            <rFont val="Tahoma"/>
            <family val="2"/>
          </rPr>
          <t xml:space="preserve">Please select from the drop-down list on the Teacher Summary Sheet.
</t>
        </r>
      </text>
    </comment>
    <comment ref="K886" authorId="1">
      <text>
        <r>
          <rPr>
            <b/>
            <sz val="8"/>
            <color indexed="81"/>
            <rFont val="Tahoma"/>
            <family val="2"/>
          </rPr>
          <t>This is the venue at which the examination may take place.
Please select the preferred venue from the drop-down list on the Teacher Summary Sheet.</t>
        </r>
      </text>
    </comment>
    <comment ref="B88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88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89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892" authorId="2">
      <text>
        <r>
          <rPr>
            <b/>
            <sz val="8"/>
            <color indexed="81"/>
            <rFont val="Tahoma"/>
            <family val="2"/>
          </rPr>
          <t>On the Teacher Summary Sheet, please select whether the candidate is Male or Female as they are examined separately.</t>
        </r>
      </text>
    </comment>
    <comment ref="F89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89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89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895" authorId="2">
      <text>
        <r>
          <rPr>
            <b/>
            <sz val="8"/>
            <color indexed="81"/>
            <rFont val="Tahoma"/>
            <family val="2"/>
          </rPr>
          <t>Please select from the drop-down list.
If 'other' is selected, please give details of awarding body.</t>
        </r>
      </text>
    </comment>
    <comment ref="B89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896" authorId="2">
      <text>
        <r>
          <rPr>
            <b/>
            <sz val="8"/>
            <color indexed="81"/>
            <rFont val="Tahoma"/>
            <family val="2"/>
          </rPr>
          <t>Please select the result of the examination from the drop-down list.</t>
        </r>
      </text>
    </comment>
    <comment ref="B897" authorId="1">
      <text>
        <r>
          <rPr>
            <b/>
            <sz val="8"/>
            <color indexed="81"/>
            <rFont val="Tahoma"/>
            <family val="2"/>
          </rPr>
          <t xml:space="preserve">
If you have not yet been successful in a vocational graded examination, then leave this section blank.</t>
        </r>
      </text>
    </comment>
    <comment ref="B898" authorId="2">
      <text>
        <r>
          <rPr>
            <b/>
            <sz val="8"/>
            <color indexed="81"/>
            <rFont val="Tahoma"/>
            <family val="2"/>
          </rPr>
          <t>Please select from the drop-down list.
If 'other' is selected, please give details of awarding body.</t>
        </r>
      </text>
    </comment>
    <comment ref="B89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899" authorId="2">
      <text>
        <r>
          <rPr>
            <b/>
            <sz val="8"/>
            <color indexed="81"/>
            <rFont val="Tahoma"/>
            <family val="2"/>
          </rPr>
          <t>Please select the result of the examination from the drop-down list.</t>
        </r>
      </text>
    </comment>
    <comment ref="B90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90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90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918" authorId="0">
      <text>
        <r>
          <rPr>
            <b/>
            <sz val="9"/>
            <color indexed="81"/>
            <rFont val="Arial"/>
            <family val="2"/>
          </rPr>
          <t xml:space="preserve">
Instructions on completing the respective field.</t>
        </r>
        <r>
          <rPr>
            <sz val="9"/>
            <color indexed="81"/>
            <rFont val="Arial"/>
            <family val="2"/>
          </rPr>
          <t xml:space="preserve">
</t>
        </r>
      </text>
    </comment>
    <comment ref="B921" authorId="1">
      <text>
        <r>
          <rPr>
            <b/>
            <sz val="8"/>
            <color indexed="81"/>
            <rFont val="Tahoma"/>
            <family val="2"/>
          </rPr>
          <t>The Candidate ID is the permanent number that has been assigned to the Candidate by the RAD.</t>
        </r>
      </text>
    </comment>
    <comment ref="H921" authorId="1">
      <text>
        <r>
          <rPr>
            <b/>
            <sz val="8"/>
            <color indexed="81"/>
            <rFont val="Tahoma"/>
            <family val="2"/>
          </rPr>
          <t xml:space="preserve">Please select from the drop-down list on the Teacher Summary Sheet.
</t>
        </r>
      </text>
    </comment>
    <comment ref="K921" authorId="1">
      <text>
        <r>
          <rPr>
            <b/>
            <sz val="8"/>
            <color indexed="81"/>
            <rFont val="Tahoma"/>
            <family val="2"/>
          </rPr>
          <t>This is the venue at which the examination may take place.
Please select the preferred venue from the drop-down list on the Teacher Summary Sheet.</t>
        </r>
      </text>
    </comment>
    <comment ref="B92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92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92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927" authorId="2">
      <text>
        <r>
          <rPr>
            <b/>
            <sz val="8"/>
            <color indexed="81"/>
            <rFont val="Tahoma"/>
            <family val="2"/>
          </rPr>
          <t>On the Teacher Summary Sheet, please select whether the candidate is Male or Female as they are examined separately.</t>
        </r>
      </text>
    </comment>
    <comment ref="F92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92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92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930" authorId="2">
      <text>
        <r>
          <rPr>
            <b/>
            <sz val="8"/>
            <color indexed="81"/>
            <rFont val="Tahoma"/>
            <family val="2"/>
          </rPr>
          <t>Please select from the drop-down list.
If 'other' is selected, please give details of awarding body.</t>
        </r>
      </text>
    </comment>
    <comment ref="B93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931" authorId="2">
      <text>
        <r>
          <rPr>
            <b/>
            <sz val="8"/>
            <color indexed="81"/>
            <rFont val="Tahoma"/>
            <family val="2"/>
          </rPr>
          <t>Please select the result of the examination from the drop-down list.</t>
        </r>
      </text>
    </comment>
    <comment ref="B932" authorId="1">
      <text>
        <r>
          <rPr>
            <b/>
            <sz val="8"/>
            <color indexed="81"/>
            <rFont val="Tahoma"/>
            <family val="2"/>
          </rPr>
          <t xml:space="preserve">
If you have not yet been successful in a vocational graded examination, then leave this section blank.</t>
        </r>
      </text>
    </comment>
    <comment ref="B933" authorId="2">
      <text>
        <r>
          <rPr>
            <b/>
            <sz val="8"/>
            <color indexed="81"/>
            <rFont val="Tahoma"/>
            <family val="2"/>
          </rPr>
          <t>Please select from the drop-down list.
If 'other' is selected, please give details of awarding body.</t>
        </r>
      </text>
    </comment>
    <comment ref="B93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934" authorId="2">
      <text>
        <r>
          <rPr>
            <b/>
            <sz val="8"/>
            <color indexed="81"/>
            <rFont val="Tahoma"/>
            <family val="2"/>
          </rPr>
          <t>Please select the result of the examination from the drop-down list.</t>
        </r>
      </text>
    </comment>
    <comment ref="B93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93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94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953" authorId="0">
      <text>
        <r>
          <rPr>
            <b/>
            <sz val="9"/>
            <color indexed="81"/>
            <rFont val="Arial"/>
            <family val="2"/>
          </rPr>
          <t xml:space="preserve">
Instructions on completing the respective field.</t>
        </r>
        <r>
          <rPr>
            <sz val="9"/>
            <color indexed="81"/>
            <rFont val="Arial"/>
            <family val="2"/>
          </rPr>
          <t xml:space="preserve">
</t>
        </r>
      </text>
    </comment>
    <comment ref="B956" authorId="1">
      <text>
        <r>
          <rPr>
            <b/>
            <sz val="8"/>
            <color indexed="81"/>
            <rFont val="Tahoma"/>
            <family val="2"/>
          </rPr>
          <t>The Candidate ID is the permanent number that has been assigned to the Candidate by the RAD.</t>
        </r>
      </text>
    </comment>
    <comment ref="H956" authorId="1">
      <text>
        <r>
          <rPr>
            <b/>
            <sz val="8"/>
            <color indexed="81"/>
            <rFont val="Tahoma"/>
            <family val="2"/>
          </rPr>
          <t xml:space="preserve">Please select from the drop-down list on the Teacher Summary Sheet.
</t>
        </r>
      </text>
    </comment>
    <comment ref="K956" authorId="1">
      <text>
        <r>
          <rPr>
            <b/>
            <sz val="8"/>
            <color indexed="81"/>
            <rFont val="Tahoma"/>
            <family val="2"/>
          </rPr>
          <t>This is the venue at which the examination may take place.
Please select the preferred venue from the drop-down list on the Teacher Summary Sheet.</t>
        </r>
      </text>
    </comment>
    <comment ref="B95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95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96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962" authorId="2">
      <text>
        <r>
          <rPr>
            <b/>
            <sz val="8"/>
            <color indexed="81"/>
            <rFont val="Tahoma"/>
            <family val="2"/>
          </rPr>
          <t>On the Teacher Summary Sheet, please select whether the candidate is Male or Female as they are examined separately.</t>
        </r>
      </text>
    </comment>
    <comment ref="F96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96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96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965" authorId="2">
      <text>
        <r>
          <rPr>
            <b/>
            <sz val="8"/>
            <color indexed="81"/>
            <rFont val="Tahoma"/>
            <family val="2"/>
          </rPr>
          <t>Please select from the drop-down list.
If 'other' is selected, please give details of awarding body.</t>
        </r>
      </text>
    </comment>
    <comment ref="B96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966" authorId="2">
      <text>
        <r>
          <rPr>
            <b/>
            <sz val="8"/>
            <color indexed="81"/>
            <rFont val="Tahoma"/>
            <family val="2"/>
          </rPr>
          <t>Please select the result of the examination from the drop-down list.</t>
        </r>
      </text>
    </comment>
    <comment ref="B967" authorId="1">
      <text>
        <r>
          <rPr>
            <b/>
            <sz val="8"/>
            <color indexed="81"/>
            <rFont val="Tahoma"/>
            <family val="2"/>
          </rPr>
          <t xml:space="preserve">
If you have not yet been successful in a vocational graded examination, then leave this section blank.</t>
        </r>
      </text>
    </comment>
    <comment ref="B968" authorId="2">
      <text>
        <r>
          <rPr>
            <b/>
            <sz val="8"/>
            <color indexed="81"/>
            <rFont val="Tahoma"/>
            <family val="2"/>
          </rPr>
          <t>Please select from the drop-down list.
If 'other' is selected, please give details of awarding body.</t>
        </r>
      </text>
    </comment>
    <comment ref="B96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969" authorId="2">
      <text>
        <r>
          <rPr>
            <b/>
            <sz val="8"/>
            <color indexed="81"/>
            <rFont val="Tahoma"/>
            <family val="2"/>
          </rPr>
          <t>Please select the result of the examination from the drop-down list.</t>
        </r>
      </text>
    </comment>
    <comment ref="B97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97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97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988" authorId="0">
      <text>
        <r>
          <rPr>
            <b/>
            <sz val="9"/>
            <color indexed="81"/>
            <rFont val="Arial"/>
            <family val="2"/>
          </rPr>
          <t xml:space="preserve">
Instructions on completing the respective field.</t>
        </r>
        <r>
          <rPr>
            <sz val="9"/>
            <color indexed="81"/>
            <rFont val="Arial"/>
            <family val="2"/>
          </rPr>
          <t xml:space="preserve">
</t>
        </r>
      </text>
    </comment>
    <comment ref="B991" authorId="1">
      <text>
        <r>
          <rPr>
            <b/>
            <sz val="8"/>
            <color indexed="81"/>
            <rFont val="Tahoma"/>
            <family val="2"/>
          </rPr>
          <t>The Candidate ID is the permanent number that has been assigned to the Candidate by the RAD.</t>
        </r>
      </text>
    </comment>
    <comment ref="H991" authorId="1">
      <text>
        <r>
          <rPr>
            <b/>
            <sz val="8"/>
            <color indexed="81"/>
            <rFont val="Tahoma"/>
            <family val="2"/>
          </rPr>
          <t xml:space="preserve">Please select from the drop-down list on the Teacher Summary Sheet.
</t>
        </r>
      </text>
    </comment>
    <comment ref="K991" authorId="1">
      <text>
        <r>
          <rPr>
            <b/>
            <sz val="8"/>
            <color indexed="81"/>
            <rFont val="Tahoma"/>
            <family val="2"/>
          </rPr>
          <t>This is the venue at which the examination may take place.
Please select the preferred venue from the drop-down list on the Teacher Summary Sheet.</t>
        </r>
      </text>
    </comment>
    <comment ref="B99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99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99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997" authorId="2">
      <text>
        <r>
          <rPr>
            <b/>
            <sz val="8"/>
            <color indexed="81"/>
            <rFont val="Tahoma"/>
            <family val="2"/>
          </rPr>
          <t>On the Teacher Summary Sheet, please select whether the candidate is Male or Female as they are examined separately.</t>
        </r>
      </text>
    </comment>
    <comment ref="F99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99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99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000" authorId="2">
      <text>
        <r>
          <rPr>
            <b/>
            <sz val="8"/>
            <color indexed="81"/>
            <rFont val="Tahoma"/>
            <family val="2"/>
          </rPr>
          <t>Please select from the drop-down list.
If 'other' is selected, please give details of awarding body.</t>
        </r>
      </text>
    </comment>
    <comment ref="B100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001" authorId="2">
      <text>
        <r>
          <rPr>
            <b/>
            <sz val="8"/>
            <color indexed="81"/>
            <rFont val="Tahoma"/>
            <family val="2"/>
          </rPr>
          <t>Please select the result of the examination from the drop-down list.</t>
        </r>
      </text>
    </comment>
    <comment ref="B1002" authorId="1">
      <text>
        <r>
          <rPr>
            <b/>
            <sz val="8"/>
            <color indexed="81"/>
            <rFont val="Tahoma"/>
            <family val="2"/>
          </rPr>
          <t xml:space="preserve">
If you have not yet been successful in a vocational graded examination, then leave this section blank.</t>
        </r>
      </text>
    </comment>
    <comment ref="B1003" authorId="2">
      <text>
        <r>
          <rPr>
            <b/>
            <sz val="8"/>
            <color indexed="81"/>
            <rFont val="Tahoma"/>
            <family val="2"/>
          </rPr>
          <t>Please select from the drop-down list.
If 'other' is selected, please give details of awarding body.</t>
        </r>
      </text>
    </comment>
    <comment ref="B100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004" authorId="2">
      <text>
        <r>
          <rPr>
            <b/>
            <sz val="8"/>
            <color indexed="81"/>
            <rFont val="Tahoma"/>
            <family val="2"/>
          </rPr>
          <t>Please select the result of the examination from the drop-down list.</t>
        </r>
      </text>
    </comment>
    <comment ref="B100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00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01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023" authorId="0">
      <text>
        <r>
          <rPr>
            <b/>
            <sz val="9"/>
            <color indexed="81"/>
            <rFont val="Arial"/>
            <family val="2"/>
          </rPr>
          <t xml:space="preserve">
Instructions on completing the respective field.</t>
        </r>
        <r>
          <rPr>
            <sz val="9"/>
            <color indexed="81"/>
            <rFont val="Arial"/>
            <family val="2"/>
          </rPr>
          <t xml:space="preserve">
</t>
        </r>
      </text>
    </comment>
    <comment ref="B1026" authorId="1">
      <text>
        <r>
          <rPr>
            <b/>
            <sz val="8"/>
            <color indexed="81"/>
            <rFont val="Tahoma"/>
            <family val="2"/>
          </rPr>
          <t>The Candidate ID is the permanent number that has been assigned to the Candidate by the RAD.</t>
        </r>
      </text>
    </comment>
    <comment ref="H1026" authorId="1">
      <text>
        <r>
          <rPr>
            <b/>
            <sz val="8"/>
            <color indexed="81"/>
            <rFont val="Tahoma"/>
            <family val="2"/>
          </rPr>
          <t xml:space="preserve">Please select from the drop-down list on the Teacher Summary Sheet.
</t>
        </r>
      </text>
    </comment>
    <comment ref="K1026" authorId="1">
      <text>
        <r>
          <rPr>
            <b/>
            <sz val="8"/>
            <color indexed="81"/>
            <rFont val="Tahoma"/>
            <family val="2"/>
          </rPr>
          <t>This is the venue at which the examination may take place.
Please select the preferred venue from the drop-down list on the Teacher Summary Sheet.</t>
        </r>
      </text>
    </comment>
    <comment ref="B102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02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03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032" authorId="2">
      <text>
        <r>
          <rPr>
            <b/>
            <sz val="8"/>
            <color indexed="81"/>
            <rFont val="Tahoma"/>
            <family val="2"/>
          </rPr>
          <t>On the Teacher Summary Sheet, please select whether the candidate is Male or Female as they are examined separately.</t>
        </r>
      </text>
    </comment>
    <comment ref="F103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03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03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035" authorId="2">
      <text>
        <r>
          <rPr>
            <b/>
            <sz val="8"/>
            <color indexed="81"/>
            <rFont val="Tahoma"/>
            <family val="2"/>
          </rPr>
          <t>Please select from the drop-down list.
If 'other' is selected, please give details of awarding body.</t>
        </r>
      </text>
    </comment>
    <comment ref="B103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036" authorId="2">
      <text>
        <r>
          <rPr>
            <b/>
            <sz val="8"/>
            <color indexed="81"/>
            <rFont val="Tahoma"/>
            <family val="2"/>
          </rPr>
          <t>Please select the result of the examination from the drop-down list.</t>
        </r>
      </text>
    </comment>
    <comment ref="B1037" authorId="1">
      <text>
        <r>
          <rPr>
            <b/>
            <sz val="8"/>
            <color indexed="81"/>
            <rFont val="Tahoma"/>
            <family val="2"/>
          </rPr>
          <t xml:space="preserve">
If you have not yet been successful in a vocational graded examination, then leave this section blank.</t>
        </r>
      </text>
    </comment>
    <comment ref="B1038" authorId="2">
      <text>
        <r>
          <rPr>
            <b/>
            <sz val="8"/>
            <color indexed="81"/>
            <rFont val="Tahoma"/>
            <family val="2"/>
          </rPr>
          <t>Please select from the drop-down list.
If 'other' is selected, please give details of awarding body.</t>
        </r>
      </text>
    </comment>
    <comment ref="B103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039" authorId="2">
      <text>
        <r>
          <rPr>
            <b/>
            <sz val="8"/>
            <color indexed="81"/>
            <rFont val="Tahoma"/>
            <family val="2"/>
          </rPr>
          <t>Please select the result of the examination from the drop-down list.</t>
        </r>
      </text>
    </comment>
    <comment ref="B104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04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04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058" authorId="0">
      <text>
        <r>
          <rPr>
            <b/>
            <sz val="9"/>
            <color indexed="81"/>
            <rFont val="Arial"/>
            <family val="2"/>
          </rPr>
          <t xml:space="preserve">
Instructions on completing the respective field.</t>
        </r>
        <r>
          <rPr>
            <sz val="9"/>
            <color indexed="81"/>
            <rFont val="Arial"/>
            <family val="2"/>
          </rPr>
          <t xml:space="preserve">
</t>
        </r>
      </text>
    </comment>
    <comment ref="B1061" authorId="1">
      <text>
        <r>
          <rPr>
            <b/>
            <sz val="8"/>
            <color indexed="81"/>
            <rFont val="Tahoma"/>
            <family val="2"/>
          </rPr>
          <t>The Candidate ID is the permanent number that has been assigned to the Candidate by the RAD.</t>
        </r>
      </text>
    </comment>
    <comment ref="H1061" authorId="1">
      <text>
        <r>
          <rPr>
            <b/>
            <sz val="8"/>
            <color indexed="81"/>
            <rFont val="Tahoma"/>
            <family val="2"/>
          </rPr>
          <t xml:space="preserve">Please select from the drop-down list on the Teacher Summary Sheet.
</t>
        </r>
      </text>
    </comment>
    <comment ref="K1061" authorId="1">
      <text>
        <r>
          <rPr>
            <b/>
            <sz val="8"/>
            <color indexed="81"/>
            <rFont val="Tahoma"/>
            <family val="2"/>
          </rPr>
          <t>This is the venue at which the examination may take place.
Please select the preferred venue from the drop-down list on the Teacher Summary Sheet.</t>
        </r>
      </text>
    </comment>
    <comment ref="B106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06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06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067" authorId="2">
      <text>
        <r>
          <rPr>
            <b/>
            <sz val="8"/>
            <color indexed="81"/>
            <rFont val="Tahoma"/>
            <family val="2"/>
          </rPr>
          <t>On the Teacher Summary Sheet, please select whether the candidate is Male or Female as they are examined separately.</t>
        </r>
      </text>
    </comment>
    <comment ref="F106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06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06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070" authorId="2">
      <text>
        <r>
          <rPr>
            <b/>
            <sz val="8"/>
            <color indexed="81"/>
            <rFont val="Tahoma"/>
            <family val="2"/>
          </rPr>
          <t>Please select from the drop-down list.
If 'other' is selected, please give details of awarding body.</t>
        </r>
      </text>
    </comment>
    <comment ref="B107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071" authorId="2">
      <text>
        <r>
          <rPr>
            <b/>
            <sz val="8"/>
            <color indexed="81"/>
            <rFont val="Tahoma"/>
            <family val="2"/>
          </rPr>
          <t>Please select the result of the examination from the drop-down list.</t>
        </r>
      </text>
    </comment>
    <comment ref="B1072" authorId="1">
      <text>
        <r>
          <rPr>
            <b/>
            <sz val="8"/>
            <color indexed="81"/>
            <rFont val="Tahoma"/>
            <family val="2"/>
          </rPr>
          <t xml:space="preserve">
If you have not yet been successful in a vocational graded examination, then leave this section blank.</t>
        </r>
      </text>
    </comment>
    <comment ref="B1073" authorId="2">
      <text>
        <r>
          <rPr>
            <b/>
            <sz val="8"/>
            <color indexed="81"/>
            <rFont val="Tahoma"/>
            <family val="2"/>
          </rPr>
          <t>Please select from the drop-down list.
If 'other' is selected, please give details of awarding body.</t>
        </r>
      </text>
    </comment>
    <comment ref="B107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074" authorId="2">
      <text>
        <r>
          <rPr>
            <b/>
            <sz val="8"/>
            <color indexed="81"/>
            <rFont val="Tahoma"/>
            <family val="2"/>
          </rPr>
          <t>Please select the result of the examination from the drop-down list.</t>
        </r>
      </text>
    </comment>
    <comment ref="B107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07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08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093" authorId="0">
      <text>
        <r>
          <rPr>
            <b/>
            <sz val="9"/>
            <color indexed="81"/>
            <rFont val="Arial"/>
            <family val="2"/>
          </rPr>
          <t xml:space="preserve">
Instructions on completing the respective field.</t>
        </r>
        <r>
          <rPr>
            <sz val="9"/>
            <color indexed="81"/>
            <rFont val="Arial"/>
            <family val="2"/>
          </rPr>
          <t xml:space="preserve">
</t>
        </r>
      </text>
    </comment>
    <comment ref="B1096" authorId="1">
      <text>
        <r>
          <rPr>
            <b/>
            <sz val="8"/>
            <color indexed="81"/>
            <rFont val="Tahoma"/>
            <family val="2"/>
          </rPr>
          <t>The Candidate ID is the permanent number that has been assigned to the Candidate by the RAD.</t>
        </r>
      </text>
    </comment>
    <comment ref="H1096" authorId="1">
      <text>
        <r>
          <rPr>
            <b/>
            <sz val="8"/>
            <color indexed="81"/>
            <rFont val="Tahoma"/>
            <family val="2"/>
          </rPr>
          <t xml:space="preserve">Please select from the drop-down list on the Teacher Summary Sheet.
</t>
        </r>
      </text>
    </comment>
    <comment ref="K1096" authorId="1">
      <text>
        <r>
          <rPr>
            <b/>
            <sz val="8"/>
            <color indexed="81"/>
            <rFont val="Tahoma"/>
            <family val="2"/>
          </rPr>
          <t>This is the venue at which the examination may take place.
Please select the preferred venue from the drop-down list on the Teacher Summary Sheet.</t>
        </r>
      </text>
    </comment>
    <comment ref="B109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09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10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102" authorId="2">
      <text>
        <r>
          <rPr>
            <b/>
            <sz val="8"/>
            <color indexed="81"/>
            <rFont val="Tahoma"/>
            <family val="2"/>
          </rPr>
          <t>On the Teacher Summary Sheet, please select whether the candidate is Male or Female as they are examined separately.</t>
        </r>
      </text>
    </comment>
    <comment ref="F110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10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10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105" authorId="2">
      <text>
        <r>
          <rPr>
            <b/>
            <sz val="8"/>
            <color indexed="81"/>
            <rFont val="Tahoma"/>
            <family val="2"/>
          </rPr>
          <t>Please select from the drop-down list.
If 'other' is selected, please give details of awarding body.</t>
        </r>
      </text>
    </comment>
    <comment ref="B110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106" authorId="2">
      <text>
        <r>
          <rPr>
            <b/>
            <sz val="8"/>
            <color indexed="81"/>
            <rFont val="Tahoma"/>
            <family val="2"/>
          </rPr>
          <t>Please select the result of the examination from the drop-down list.</t>
        </r>
      </text>
    </comment>
    <comment ref="B1107" authorId="1">
      <text>
        <r>
          <rPr>
            <b/>
            <sz val="8"/>
            <color indexed="81"/>
            <rFont val="Tahoma"/>
            <family val="2"/>
          </rPr>
          <t xml:space="preserve">
If you have not yet been successful in a vocational graded examination, then leave this section blank.</t>
        </r>
      </text>
    </comment>
    <comment ref="B1108" authorId="2">
      <text>
        <r>
          <rPr>
            <b/>
            <sz val="8"/>
            <color indexed="81"/>
            <rFont val="Tahoma"/>
            <family val="2"/>
          </rPr>
          <t>Please select from the drop-down list.
If 'other' is selected, please give details of awarding body.</t>
        </r>
      </text>
    </comment>
    <comment ref="B110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109" authorId="2">
      <text>
        <r>
          <rPr>
            <b/>
            <sz val="8"/>
            <color indexed="81"/>
            <rFont val="Tahoma"/>
            <family val="2"/>
          </rPr>
          <t>Please select the result of the examination from the drop-down list.</t>
        </r>
      </text>
    </comment>
    <comment ref="B111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11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11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128" authorId="0">
      <text>
        <r>
          <rPr>
            <b/>
            <sz val="9"/>
            <color indexed="81"/>
            <rFont val="Arial"/>
            <family val="2"/>
          </rPr>
          <t xml:space="preserve">
Instructions on completing the respective field.</t>
        </r>
        <r>
          <rPr>
            <sz val="9"/>
            <color indexed="81"/>
            <rFont val="Arial"/>
            <family val="2"/>
          </rPr>
          <t xml:space="preserve">
</t>
        </r>
      </text>
    </comment>
    <comment ref="B1131" authorId="1">
      <text>
        <r>
          <rPr>
            <b/>
            <sz val="8"/>
            <color indexed="81"/>
            <rFont val="Tahoma"/>
            <family val="2"/>
          </rPr>
          <t>The Candidate ID is the permanent number that has been assigned to the Candidate by the RAD.</t>
        </r>
      </text>
    </comment>
    <comment ref="H1131" authorId="1">
      <text>
        <r>
          <rPr>
            <b/>
            <sz val="8"/>
            <color indexed="81"/>
            <rFont val="Tahoma"/>
            <family val="2"/>
          </rPr>
          <t xml:space="preserve">Please select from the drop-down list on the Teacher Summary Sheet.
</t>
        </r>
      </text>
    </comment>
    <comment ref="K1131" authorId="1">
      <text>
        <r>
          <rPr>
            <b/>
            <sz val="8"/>
            <color indexed="81"/>
            <rFont val="Tahoma"/>
            <family val="2"/>
          </rPr>
          <t>This is the venue at which the examination may take place.
Please select the preferred venue from the drop-down list on the Teacher Summary Sheet.</t>
        </r>
      </text>
    </comment>
    <comment ref="B113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13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13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137" authorId="2">
      <text>
        <r>
          <rPr>
            <b/>
            <sz val="8"/>
            <color indexed="81"/>
            <rFont val="Tahoma"/>
            <family val="2"/>
          </rPr>
          <t>On the Teacher Summary Sheet, please select whether the candidate is Male or Female as they are examined separately.</t>
        </r>
      </text>
    </comment>
    <comment ref="F113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13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13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140" authorId="2">
      <text>
        <r>
          <rPr>
            <b/>
            <sz val="8"/>
            <color indexed="81"/>
            <rFont val="Tahoma"/>
            <family val="2"/>
          </rPr>
          <t>Please select from the drop-down list.
If 'other' is selected, please give details of awarding body.</t>
        </r>
      </text>
    </comment>
    <comment ref="B114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141" authorId="2">
      <text>
        <r>
          <rPr>
            <b/>
            <sz val="8"/>
            <color indexed="81"/>
            <rFont val="Tahoma"/>
            <family val="2"/>
          </rPr>
          <t>Please select the result of the examination from the drop-down list.</t>
        </r>
      </text>
    </comment>
    <comment ref="B1142" authorId="1">
      <text>
        <r>
          <rPr>
            <b/>
            <sz val="8"/>
            <color indexed="81"/>
            <rFont val="Tahoma"/>
            <family val="2"/>
          </rPr>
          <t xml:space="preserve">
If you have not yet been successful in a vocational graded examination, then leave this section blank.</t>
        </r>
      </text>
    </comment>
    <comment ref="B1143" authorId="2">
      <text>
        <r>
          <rPr>
            <b/>
            <sz val="8"/>
            <color indexed="81"/>
            <rFont val="Tahoma"/>
            <family val="2"/>
          </rPr>
          <t>Please select from the drop-down list.
If 'other' is selected, please give details of awarding body.</t>
        </r>
      </text>
    </comment>
    <comment ref="B114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144" authorId="2">
      <text>
        <r>
          <rPr>
            <b/>
            <sz val="8"/>
            <color indexed="81"/>
            <rFont val="Tahoma"/>
            <family val="2"/>
          </rPr>
          <t>Please select the result of the examination from the drop-down list.</t>
        </r>
      </text>
    </comment>
    <comment ref="B114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14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15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163" authorId="0">
      <text>
        <r>
          <rPr>
            <b/>
            <sz val="9"/>
            <color indexed="81"/>
            <rFont val="Arial"/>
            <family val="2"/>
          </rPr>
          <t xml:space="preserve">
Instructions on completing the respective field.</t>
        </r>
        <r>
          <rPr>
            <sz val="9"/>
            <color indexed="81"/>
            <rFont val="Arial"/>
            <family val="2"/>
          </rPr>
          <t xml:space="preserve">
</t>
        </r>
      </text>
    </comment>
    <comment ref="B1166" authorId="1">
      <text>
        <r>
          <rPr>
            <b/>
            <sz val="8"/>
            <color indexed="81"/>
            <rFont val="Tahoma"/>
            <family val="2"/>
          </rPr>
          <t>The Candidate ID is the permanent number that has been assigned to the Candidate by the RAD.</t>
        </r>
      </text>
    </comment>
    <comment ref="H1166" authorId="1">
      <text>
        <r>
          <rPr>
            <b/>
            <sz val="8"/>
            <color indexed="81"/>
            <rFont val="Tahoma"/>
            <family val="2"/>
          </rPr>
          <t xml:space="preserve">Please select from the drop-down list on the Teacher Summary Sheet.
</t>
        </r>
      </text>
    </comment>
    <comment ref="K1166" authorId="1">
      <text>
        <r>
          <rPr>
            <b/>
            <sz val="8"/>
            <color indexed="81"/>
            <rFont val="Tahoma"/>
            <family val="2"/>
          </rPr>
          <t>This is the venue at which the examination may take place.
Please select the preferred venue from the drop-down list on the Teacher Summary Sheet.</t>
        </r>
      </text>
    </comment>
    <comment ref="B116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16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17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172" authorId="2">
      <text>
        <r>
          <rPr>
            <b/>
            <sz val="8"/>
            <color indexed="81"/>
            <rFont val="Tahoma"/>
            <family val="2"/>
          </rPr>
          <t>On the Teacher Summary Sheet, please select whether the candidate is Male or Female as they are examined separately.</t>
        </r>
      </text>
    </comment>
    <comment ref="F117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17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17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175" authorId="2">
      <text>
        <r>
          <rPr>
            <b/>
            <sz val="8"/>
            <color indexed="81"/>
            <rFont val="Tahoma"/>
            <family val="2"/>
          </rPr>
          <t>Please select from the drop-down list.
If 'other' is selected, please give details of awarding body.</t>
        </r>
      </text>
    </comment>
    <comment ref="B117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176" authorId="2">
      <text>
        <r>
          <rPr>
            <b/>
            <sz val="8"/>
            <color indexed="81"/>
            <rFont val="Tahoma"/>
            <family val="2"/>
          </rPr>
          <t>Please select the result of the examination from the drop-down list.</t>
        </r>
      </text>
    </comment>
    <comment ref="B1177" authorId="1">
      <text>
        <r>
          <rPr>
            <b/>
            <sz val="8"/>
            <color indexed="81"/>
            <rFont val="Tahoma"/>
            <family val="2"/>
          </rPr>
          <t xml:space="preserve">
If you have not yet been successful in a vocational graded examination, then leave this section blank.</t>
        </r>
      </text>
    </comment>
    <comment ref="B1178" authorId="2">
      <text>
        <r>
          <rPr>
            <b/>
            <sz val="8"/>
            <color indexed="81"/>
            <rFont val="Tahoma"/>
            <family val="2"/>
          </rPr>
          <t>Please select from the drop-down list.
If 'other' is selected, please give details of awarding body.</t>
        </r>
      </text>
    </comment>
    <comment ref="B117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179" authorId="2">
      <text>
        <r>
          <rPr>
            <b/>
            <sz val="8"/>
            <color indexed="81"/>
            <rFont val="Tahoma"/>
            <family val="2"/>
          </rPr>
          <t>Please select the result of the examination from the drop-down list.</t>
        </r>
      </text>
    </comment>
    <comment ref="B118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18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18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198" authorId="0">
      <text>
        <r>
          <rPr>
            <b/>
            <sz val="9"/>
            <color indexed="81"/>
            <rFont val="Arial"/>
            <family val="2"/>
          </rPr>
          <t xml:space="preserve">
Instructions on completing the respective field.</t>
        </r>
        <r>
          <rPr>
            <sz val="9"/>
            <color indexed="81"/>
            <rFont val="Arial"/>
            <family val="2"/>
          </rPr>
          <t xml:space="preserve">
</t>
        </r>
      </text>
    </comment>
    <comment ref="B1201" authorId="1">
      <text>
        <r>
          <rPr>
            <b/>
            <sz val="8"/>
            <color indexed="81"/>
            <rFont val="Tahoma"/>
            <family val="2"/>
          </rPr>
          <t>The Candidate ID is the permanent number that has been assigned to the Candidate by the RAD.</t>
        </r>
      </text>
    </comment>
    <comment ref="H1201" authorId="1">
      <text>
        <r>
          <rPr>
            <b/>
            <sz val="8"/>
            <color indexed="81"/>
            <rFont val="Tahoma"/>
            <family val="2"/>
          </rPr>
          <t xml:space="preserve">Please select from the drop-down list on the Teacher Summary Sheet.
</t>
        </r>
      </text>
    </comment>
    <comment ref="K1201" authorId="1">
      <text>
        <r>
          <rPr>
            <b/>
            <sz val="8"/>
            <color indexed="81"/>
            <rFont val="Tahoma"/>
            <family val="2"/>
          </rPr>
          <t>This is the venue at which the examination may take place.
Please select the preferred venue from the drop-down list on the Teacher Summary Sheet.</t>
        </r>
      </text>
    </comment>
    <comment ref="B120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20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20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207" authorId="2">
      <text>
        <r>
          <rPr>
            <b/>
            <sz val="8"/>
            <color indexed="81"/>
            <rFont val="Tahoma"/>
            <family val="2"/>
          </rPr>
          <t>On the Teacher Summary Sheet, please select whether the candidate is Male or Female as they are examined separately.</t>
        </r>
      </text>
    </comment>
    <comment ref="F120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20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20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210" authorId="2">
      <text>
        <r>
          <rPr>
            <b/>
            <sz val="8"/>
            <color indexed="81"/>
            <rFont val="Tahoma"/>
            <family val="2"/>
          </rPr>
          <t>Please select from the drop-down list.
If 'other' is selected, please give details of awarding body.</t>
        </r>
      </text>
    </comment>
    <comment ref="B121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11" authorId="2">
      <text>
        <r>
          <rPr>
            <b/>
            <sz val="8"/>
            <color indexed="81"/>
            <rFont val="Tahoma"/>
            <family val="2"/>
          </rPr>
          <t>Please select the result of the examination from the drop-down list.</t>
        </r>
      </text>
    </comment>
    <comment ref="B1212" authorId="1">
      <text>
        <r>
          <rPr>
            <b/>
            <sz val="8"/>
            <color indexed="81"/>
            <rFont val="Tahoma"/>
            <family val="2"/>
          </rPr>
          <t xml:space="preserve">
If you have not yet been successful in a vocational graded examination, then leave this section blank.</t>
        </r>
      </text>
    </comment>
    <comment ref="B1213" authorId="2">
      <text>
        <r>
          <rPr>
            <b/>
            <sz val="8"/>
            <color indexed="81"/>
            <rFont val="Tahoma"/>
            <family val="2"/>
          </rPr>
          <t>Please select from the drop-down list.
If 'other' is selected, please give details of awarding body.</t>
        </r>
      </text>
    </comment>
    <comment ref="B121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14" authorId="2">
      <text>
        <r>
          <rPr>
            <b/>
            <sz val="8"/>
            <color indexed="81"/>
            <rFont val="Tahoma"/>
            <family val="2"/>
          </rPr>
          <t>Please select the result of the examination from the drop-down list.</t>
        </r>
      </text>
    </comment>
    <comment ref="B121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21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22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233" authorId="0">
      <text>
        <r>
          <rPr>
            <b/>
            <sz val="9"/>
            <color indexed="81"/>
            <rFont val="Arial"/>
            <family val="2"/>
          </rPr>
          <t xml:space="preserve">
Instructions on completing the respective field.</t>
        </r>
        <r>
          <rPr>
            <sz val="9"/>
            <color indexed="81"/>
            <rFont val="Arial"/>
            <family val="2"/>
          </rPr>
          <t xml:space="preserve">
</t>
        </r>
      </text>
    </comment>
    <comment ref="B1236" authorId="1">
      <text>
        <r>
          <rPr>
            <b/>
            <sz val="8"/>
            <color indexed="81"/>
            <rFont val="Tahoma"/>
            <family val="2"/>
          </rPr>
          <t>The Candidate ID is the permanent number that has been assigned to the Candidate by the RAD.</t>
        </r>
      </text>
    </comment>
    <comment ref="H1236" authorId="1">
      <text>
        <r>
          <rPr>
            <b/>
            <sz val="8"/>
            <color indexed="81"/>
            <rFont val="Tahoma"/>
            <family val="2"/>
          </rPr>
          <t xml:space="preserve">Please select from the drop-down list on the Teacher Summary Sheet.
</t>
        </r>
      </text>
    </comment>
    <comment ref="K1236" authorId="1">
      <text>
        <r>
          <rPr>
            <b/>
            <sz val="8"/>
            <color indexed="81"/>
            <rFont val="Tahoma"/>
            <family val="2"/>
          </rPr>
          <t>This is the venue at which the examination may take place.
Please select the preferred venue from the drop-down list on the Teacher Summary Sheet.</t>
        </r>
      </text>
    </comment>
    <comment ref="B123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23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24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242" authorId="2">
      <text>
        <r>
          <rPr>
            <b/>
            <sz val="8"/>
            <color indexed="81"/>
            <rFont val="Tahoma"/>
            <family val="2"/>
          </rPr>
          <t>On the Teacher Summary Sheet, please select whether the candidate is Male or Female as they are examined separately.</t>
        </r>
      </text>
    </comment>
    <comment ref="F124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24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24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245" authorId="2">
      <text>
        <r>
          <rPr>
            <b/>
            <sz val="8"/>
            <color indexed="81"/>
            <rFont val="Tahoma"/>
            <family val="2"/>
          </rPr>
          <t>Please select from the drop-down list.
If 'other' is selected, please give details of awarding body.</t>
        </r>
      </text>
    </comment>
    <comment ref="B124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46" authorId="2">
      <text>
        <r>
          <rPr>
            <b/>
            <sz val="8"/>
            <color indexed="81"/>
            <rFont val="Tahoma"/>
            <family val="2"/>
          </rPr>
          <t>Please select the result of the examination from the drop-down list.</t>
        </r>
      </text>
    </comment>
    <comment ref="B1247" authorId="1">
      <text>
        <r>
          <rPr>
            <b/>
            <sz val="8"/>
            <color indexed="81"/>
            <rFont val="Tahoma"/>
            <family val="2"/>
          </rPr>
          <t xml:space="preserve">
If you have not yet been successful in a vocational graded examination, then leave this section blank.</t>
        </r>
      </text>
    </comment>
    <comment ref="B1248" authorId="2">
      <text>
        <r>
          <rPr>
            <b/>
            <sz val="8"/>
            <color indexed="81"/>
            <rFont val="Tahoma"/>
            <family val="2"/>
          </rPr>
          <t>Please select from the drop-down list.
If 'other' is selected, please give details of awarding body.</t>
        </r>
      </text>
    </comment>
    <comment ref="B124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49" authorId="2">
      <text>
        <r>
          <rPr>
            <b/>
            <sz val="8"/>
            <color indexed="81"/>
            <rFont val="Tahoma"/>
            <family val="2"/>
          </rPr>
          <t>Please select the result of the examination from the drop-down list.</t>
        </r>
      </text>
    </comment>
    <comment ref="B125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25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25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268" authorId="0">
      <text>
        <r>
          <rPr>
            <b/>
            <sz val="9"/>
            <color indexed="81"/>
            <rFont val="Arial"/>
            <family val="2"/>
          </rPr>
          <t xml:space="preserve">
Instructions on completing the respective field.</t>
        </r>
        <r>
          <rPr>
            <sz val="9"/>
            <color indexed="81"/>
            <rFont val="Arial"/>
            <family val="2"/>
          </rPr>
          <t xml:space="preserve">
</t>
        </r>
      </text>
    </comment>
    <comment ref="B1271" authorId="1">
      <text>
        <r>
          <rPr>
            <b/>
            <sz val="8"/>
            <color indexed="81"/>
            <rFont val="Tahoma"/>
            <family val="2"/>
          </rPr>
          <t>The Candidate ID is the permanent number that has been assigned to the Candidate by the RAD.</t>
        </r>
      </text>
    </comment>
    <comment ref="H1271" authorId="1">
      <text>
        <r>
          <rPr>
            <b/>
            <sz val="8"/>
            <color indexed="81"/>
            <rFont val="Tahoma"/>
            <family val="2"/>
          </rPr>
          <t xml:space="preserve">Please select from the drop-down list on the Teacher Summary Sheet.
</t>
        </r>
      </text>
    </comment>
    <comment ref="K1271" authorId="1">
      <text>
        <r>
          <rPr>
            <b/>
            <sz val="8"/>
            <color indexed="81"/>
            <rFont val="Tahoma"/>
            <family val="2"/>
          </rPr>
          <t>This is the venue at which the examination may take place.
Please select the preferred venue from the drop-down list on the Teacher Summary Sheet.</t>
        </r>
      </text>
    </comment>
    <comment ref="B127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27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27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277" authorId="2">
      <text>
        <r>
          <rPr>
            <b/>
            <sz val="8"/>
            <color indexed="81"/>
            <rFont val="Tahoma"/>
            <family val="2"/>
          </rPr>
          <t>On the Teacher Summary Sheet, please select whether the candidate is Male or Female as they are examined separately.</t>
        </r>
      </text>
    </comment>
    <comment ref="F127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27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27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280" authorId="2">
      <text>
        <r>
          <rPr>
            <b/>
            <sz val="8"/>
            <color indexed="81"/>
            <rFont val="Tahoma"/>
            <family val="2"/>
          </rPr>
          <t>Please select from the drop-down list.
If 'other' is selected, please give details of awarding body.</t>
        </r>
      </text>
    </comment>
    <comment ref="B128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81" authorId="2">
      <text>
        <r>
          <rPr>
            <b/>
            <sz val="8"/>
            <color indexed="81"/>
            <rFont val="Tahoma"/>
            <family val="2"/>
          </rPr>
          <t>Please select the result of the examination from the drop-down list.</t>
        </r>
      </text>
    </comment>
    <comment ref="B1282" authorId="1">
      <text>
        <r>
          <rPr>
            <b/>
            <sz val="8"/>
            <color indexed="81"/>
            <rFont val="Tahoma"/>
            <family val="2"/>
          </rPr>
          <t xml:space="preserve">
If you have not yet been successful in a vocational graded examination, then leave this section blank.</t>
        </r>
      </text>
    </comment>
    <comment ref="B1283" authorId="2">
      <text>
        <r>
          <rPr>
            <b/>
            <sz val="8"/>
            <color indexed="81"/>
            <rFont val="Tahoma"/>
            <family val="2"/>
          </rPr>
          <t>Please select from the drop-down list.
If 'other' is selected, please give details of awarding body.</t>
        </r>
      </text>
    </comment>
    <comment ref="B128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284" authorId="2">
      <text>
        <r>
          <rPr>
            <b/>
            <sz val="8"/>
            <color indexed="81"/>
            <rFont val="Tahoma"/>
            <family val="2"/>
          </rPr>
          <t>Please select the result of the examination from the drop-down list.</t>
        </r>
      </text>
    </comment>
    <comment ref="B128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28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29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303" authorId="0">
      <text>
        <r>
          <rPr>
            <b/>
            <sz val="9"/>
            <color indexed="81"/>
            <rFont val="Arial"/>
            <family val="2"/>
          </rPr>
          <t xml:space="preserve">
Instructions on completing the respective field.</t>
        </r>
        <r>
          <rPr>
            <sz val="9"/>
            <color indexed="81"/>
            <rFont val="Arial"/>
            <family val="2"/>
          </rPr>
          <t xml:space="preserve">
</t>
        </r>
      </text>
    </comment>
    <comment ref="B1306" authorId="1">
      <text>
        <r>
          <rPr>
            <b/>
            <sz val="8"/>
            <color indexed="81"/>
            <rFont val="Tahoma"/>
            <family val="2"/>
          </rPr>
          <t>The Candidate ID is the permanent number that has been assigned to the Candidate by the RAD.</t>
        </r>
      </text>
    </comment>
    <comment ref="H1306" authorId="1">
      <text>
        <r>
          <rPr>
            <b/>
            <sz val="8"/>
            <color indexed="81"/>
            <rFont val="Tahoma"/>
            <family val="2"/>
          </rPr>
          <t xml:space="preserve">Please select from the drop-down list on the Teacher Summary Sheet.
</t>
        </r>
      </text>
    </comment>
    <comment ref="K1306" authorId="1">
      <text>
        <r>
          <rPr>
            <b/>
            <sz val="8"/>
            <color indexed="81"/>
            <rFont val="Tahoma"/>
            <family val="2"/>
          </rPr>
          <t>This is the venue at which the examination may take place.
Please select the preferred venue from the drop-down list on the Teacher Summary Sheet.</t>
        </r>
      </text>
    </comment>
    <comment ref="B130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30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31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312" authorId="2">
      <text>
        <r>
          <rPr>
            <b/>
            <sz val="8"/>
            <color indexed="81"/>
            <rFont val="Tahoma"/>
            <family val="2"/>
          </rPr>
          <t>On the Teacher Summary Sheet, please select whether the candidate is Male or Female as they are examined separately.</t>
        </r>
      </text>
    </comment>
    <comment ref="F131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31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31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315" authorId="2">
      <text>
        <r>
          <rPr>
            <b/>
            <sz val="8"/>
            <color indexed="81"/>
            <rFont val="Tahoma"/>
            <family val="2"/>
          </rPr>
          <t>Please select from the drop-down list.
If 'other' is selected, please give details of awarding body.</t>
        </r>
      </text>
    </comment>
    <comment ref="B131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316" authorId="2">
      <text>
        <r>
          <rPr>
            <b/>
            <sz val="8"/>
            <color indexed="81"/>
            <rFont val="Tahoma"/>
            <family val="2"/>
          </rPr>
          <t>Please select the result of the examination from the drop-down list.</t>
        </r>
      </text>
    </comment>
    <comment ref="B1317" authorId="1">
      <text>
        <r>
          <rPr>
            <b/>
            <sz val="8"/>
            <color indexed="81"/>
            <rFont val="Tahoma"/>
            <family val="2"/>
          </rPr>
          <t xml:space="preserve">
If you have not yet been successful in a vocational graded examination, then leave this section blank.</t>
        </r>
      </text>
    </comment>
    <comment ref="B1318" authorId="2">
      <text>
        <r>
          <rPr>
            <b/>
            <sz val="8"/>
            <color indexed="81"/>
            <rFont val="Tahoma"/>
            <family val="2"/>
          </rPr>
          <t>Please select from the drop-down list.
If 'other' is selected, please give details of awarding body.</t>
        </r>
      </text>
    </comment>
    <comment ref="B131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319" authorId="2">
      <text>
        <r>
          <rPr>
            <b/>
            <sz val="8"/>
            <color indexed="81"/>
            <rFont val="Tahoma"/>
            <family val="2"/>
          </rPr>
          <t>Please select the result of the examination from the drop-down list.</t>
        </r>
      </text>
    </comment>
    <comment ref="B132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32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32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338" authorId="0">
      <text>
        <r>
          <rPr>
            <b/>
            <sz val="9"/>
            <color indexed="81"/>
            <rFont val="Arial"/>
            <family val="2"/>
          </rPr>
          <t xml:space="preserve">
Instructions on completing the respective field.</t>
        </r>
        <r>
          <rPr>
            <sz val="9"/>
            <color indexed="81"/>
            <rFont val="Arial"/>
            <family val="2"/>
          </rPr>
          <t xml:space="preserve">
</t>
        </r>
      </text>
    </comment>
    <comment ref="B1341" authorId="1">
      <text>
        <r>
          <rPr>
            <b/>
            <sz val="8"/>
            <color indexed="81"/>
            <rFont val="Tahoma"/>
            <family val="2"/>
          </rPr>
          <t>The Candidate ID is the permanent number that has been assigned to the Candidate by the RAD.</t>
        </r>
      </text>
    </comment>
    <comment ref="H1341" authorId="1">
      <text>
        <r>
          <rPr>
            <b/>
            <sz val="8"/>
            <color indexed="81"/>
            <rFont val="Tahoma"/>
            <family val="2"/>
          </rPr>
          <t xml:space="preserve">Please select from the drop-down list on the Teacher Summary Sheet.
</t>
        </r>
      </text>
    </comment>
    <comment ref="K1341" authorId="1">
      <text>
        <r>
          <rPr>
            <b/>
            <sz val="8"/>
            <color indexed="81"/>
            <rFont val="Tahoma"/>
            <family val="2"/>
          </rPr>
          <t>This is the venue at which the examination may take place.
Please select the preferred venue from the drop-down list on the Teacher Summary Sheet.</t>
        </r>
      </text>
    </comment>
    <comment ref="B134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34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34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347" authorId="2">
      <text>
        <r>
          <rPr>
            <b/>
            <sz val="8"/>
            <color indexed="81"/>
            <rFont val="Tahoma"/>
            <family val="2"/>
          </rPr>
          <t>On the Teacher Summary Sheet, please select whether the candidate is Male or Female as they are examined separately.</t>
        </r>
      </text>
    </comment>
    <comment ref="F134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34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34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350" authorId="2">
      <text>
        <r>
          <rPr>
            <b/>
            <sz val="8"/>
            <color indexed="81"/>
            <rFont val="Tahoma"/>
            <family val="2"/>
          </rPr>
          <t>Please select from the drop-down list.
If 'other' is selected, please give details of awarding body.</t>
        </r>
      </text>
    </comment>
    <comment ref="B135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351" authorId="2">
      <text>
        <r>
          <rPr>
            <b/>
            <sz val="8"/>
            <color indexed="81"/>
            <rFont val="Tahoma"/>
            <family val="2"/>
          </rPr>
          <t>Please select the result of the examination from the drop-down list.</t>
        </r>
      </text>
    </comment>
    <comment ref="B1352" authorId="1">
      <text>
        <r>
          <rPr>
            <b/>
            <sz val="8"/>
            <color indexed="81"/>
            <rFont val="Tahoma"/>
            <family val="2"/>
          </rPr>
          <t xml:space="preserve">
If you have not yet been successful in a vocational graded examination, then leave this section blank.</t>
        </r>
      </text>
    </comment>
    <comment ref="B1353" authorId="2">
      <text>
        <r>
          <rPr>
            <b/>
            <sz val="8"/>
            <color indexed="81"/>
            <rFont val="Tahoma"/>
            <family val="2"/>
          </rPr>
          <t>Please select from the drop-down list.
If 'other' is selected, please give details of awarding body.</t>
        </r>
      </text>
    </comment>
    <comment ref="B135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354" authorId="2">
      <text>
        <r>
          <rPr>
            <b/>
            <sz val="8"/>
            <color indexed="81"/>
            <rFont val="Tahoma"/>
            <family val="2"/>
          </rPr>
          <t>Please select the result of the examination from the drop-down list.</t>
        </r>
      </text>
    </comment>
    <comment ref="B135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35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36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373" authorId="0">
      <text>
        <r>
          <rPr>
            <b/>
            <sz val="9"/>
            <color indexed="81"/>
            <rFont val="Arial"/>
            <family val="2"/>
          </rPr>
          <t xml:space="preserve">
Instructions on completing the respective field.</t>
        </r>
        <r>
          <rPr>
            <sz val="9"/>
            <color indexed="81"/>
            <rFont val="Arial"/>
            <family val="2"/>
          </rPr>
          <t xml:space="preserve">
</t>
        </r>
      </text>
    </comment>
    <comment ref="B1376" authorId="1">
      <text>
        <r>
          <rPr>
            <b/>
            <sz val="8"/>
            <color indexed="81"/>
            <rFont val="Tahoma"/>
            <family val="2"/>
          </rPr>
          <t>The Candidate ID is the permanent number that has been assigned to the Candidate by the RAD.</t>
        </r>
      </text>
    </comment>
    <comment ref="H1376" authorId="1">
      <text>
        <r>
          <rPr>
            <b/>
            <sz val="8"/>
            <color indexed="81"/>
            <rFont val="Tahoma"/>
            <family val="2"/>
          </rPr>
          <t xml:space="preserve">Please select from the drop-down list on the Teacher Summary Sheet.
</t>
        </r>
      </text>
    </comment>
    <comment ref="K1376" authorId="1">
      <text>
        <r>
          <rPr>
            <b/>
            <sz val="8"/>
            <color indexed="81"/>
            <rFont val="Tahoma"/>
            <family val="2"/>
          </rPr>
          <t>This is the venue at which the examination may take place.
Please select the preferred venue from the drop-down list on the Teacher Summary Sheet.</t>
        </r>
      </text>
    </comment>
    <comment ref="B137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37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38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382" authorId="2">
      <text>
        <r>
          <rPr>
            <b/>
            <sz val="8"/>
            <color indexed="81"/>
            <rFont val="Tahoma"/>
            <family val="2"/>
          </rPr>
          <t>On the Teacher Summary Sheet, please select whether the candidate is Male or Female as they are examined separately.</t>
        </r>
      </text>
    </comment>
    <comment ref="F138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38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38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385" authorId="2">
      <text>
        <r>
          <rPr>
            <b/>
            <sz val="8"/>
            <color indexed="81"/>
            <rFont val="Tahoma"/>
            <family val="2"/>
          </rPr>
          <t>Please select from the drop-down list.
If 'other' is selected, please give details of awarding body.</t>
        </r>
      </text>
    </comment>
    <comment ref="B138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386" authorId="2">
      <text>
        <r>
          <rPr>
            <b/>
            <sz val="8"/>
            <color indexed="81"/>
            <rFont val="Tahoma"/>
            <family val="2"/>
          </rPr>
          <t>Please select the result of the examination from the drop-down list.</t>
        </r>
      </text>
    </comment>
    <comment ref="B1387" authorId="1">
      <text>
        <r>
          <rPr>
            <b/>
            <sz val="8"/>
            <color indexed="81"/>
            <rFont val="Tahoma"/>
            <family val="2"/>
          </rPr>
          <t xml:space="preserve">
If you have not yet been successful in a vocational graded examination, then leave this section blank.</t>
        </r>
      </text>
    </comment>
    <comment ref="B1388" authorId="2">
      <text>
        <r>
          <rPr>
            <b/>
            <sz val="8"/>
            <color indexed="81"/>
            <rFont val="Tahoma"/>
            <family val="2"/>
          </rPr>
          <t>Please select from the drop-down list.
If 'other' is selected, please give details of awarding body.</t>
        </r>
      </text>
    </comment>
    <comment ref="B138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389" authorId="2">
      <text>
        <r>
          <rPr>
            <b/>
            <sz val="8"/>
            <color indexed="81"/>
            <rFont val="Tahoma"/>
            <family val="2"/>
          </rPr>
          <t>Please select the result of the examination from the drop-down list.</t>
        </r>
      </text>
    </comment>
    <comment ref="B139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39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39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408" authorId="0">
      <text>
        <r>
          <rPr>
            <b/>
            <sz val="9"/>
            <color indexed="81"/>
            <rFont val="Arial"/>
            <family val="2"/>
          </rPr>
          <t xml:space="preserve">
Instructions on completing the respective field.</t>
        </r>
        <r>
          <rPr>
            <sz val="9"/>
            <color indexed="81"/>
            <rFont val="Arial"/>
            <family val="2"/>
          </rPr>
          <t xml:space="preserve">
</t>
        </r>
      </text>
    </comment>
    <comment ref="B1411" authorId="1">
      <text>
        <r>
          <rPr>
            <b/>
            <sz val="8"/>
            <color indexed="81"/>
            <rFont val="Tahoma"/>
            <family val="2"/>
          </rPr>
          <t>The Candidate ID is the permanent number that has been assigned to the Candidate by the RAD.</t>
        </r>
      </text>
    </comment>
    <comment ref="H1411" authorId="1">
      <text>
        <r>
          <rPr>
            <b/>
            <sz val="8"/>
            <color indexed="81"/>
            <rFont val="Tahoma"/>
            <family val="2"/>
          </rPr>
          <t xml:space="preserve">Please select from the drop-down list on the Teacher Summary Sheet.
</t>
        </r>
      </text>
    </comment>
    <comment ref="K1411" authorId="1">
      <text>
        <r>
          <rPr>
            <b/>
            <sz val="8"/>
            <color indexed="81"/>
            <rFont val="Tahoma"/>
            <family val="2"/>
          </rPr>
          <t>This is the venue at which the examination may take place.
Please select the preferred venue from the drop-down list on the Teacher Summary Sheet.</t>
        </r>
      </text>
    </comment>
    <comment ref="B141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41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41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417" authorId="2">
      <text>
        <r>
          <rPr>
            <b/>
            <sz val="8"/>
            <color indexed="81"/>
            <rFont val="Tahoma"/>
            <family val="2"/>
          </rPr>
          <t>On the Teacher Summary Sheet, please select whether the candidate is Male or Female as they are examined separately.</t>
        </r>
      </text>
    </comment>
    <comment ref="F141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41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41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420" authorId="2">
      <text>
        <r>
          <rPr>
            <b/>
            <sz val="8"/>
            <color indexed="81"/>
            <rFont val="Tahoma"/>
            <family val="2"/>
          </rPr>
          <t>Please select from the drop-down list.
If 'other' is selected, please give details of awarding body.</t>
        </r>
      </text>
    </comment>
    <comment ref="B142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421" authorId="2">
      <text>
        <r>
          <rPr>
            <b/>
            <sz val="8"/>
            <color indexed="81"/>
            <rFont val="Tahoma"/>
            <family val="2"/>
          </rPr>
          <t>Please select the result of the examination from the drop-down list.</t>
        </r>
      </text>
    </comment>
    <comment ref="B1422" authorId="1">
      <text>
        <r>
          <rPr>
            <b/>
            <sz val="8"/>
            <color indexed="81"/>
            <rFont val="Tahoma"/>
            <family val="2"/>
          </rPr>
          <t xml:space="preserve">
If you have not yet been successful in a vocational graded examination, then leave this section blank.</t>
        </r>
      </text>
    </comment>
    <comment ref="B1423" authorId="2">
      <text>
        <r>
          <rPr>
            <b/>
            <sz val="8"/>
            <color indexed="81"/>
            <rFont val="Tahoma"/>
            <family val="2"/>
          </rPr>
          <t>Please select from the drop-down list.
If 'other' is selected, please give details of awarding body.</t>
        </r>
      </text>
    </comment>
    <comment ref="B142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424" authorId="2">
      <text>
        <r>
          <rPr>
            <b/>
            <sz val="8"/>
            <color indexed="81"/>
            <rFont val="Tahoma"/>
            <family val="2"/>
          </rPr>
          <t>Please select the result of the examination from the drop-down list.</t>
        </r>
      </text>
    </comment>
    <comment ref="B142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42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43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443" authorId="0">
      <text>
        <r>
          <rPr>
            <b/>
            <sz val="9"/>
            <color indexed="81"/>
            <rFont val="Arial"/>
            <family val="2"/>
          </rPr>
          <t xml:space="preserve">
Instructions on completing the respective field.</t>
        </r>
        <r>
          <rPr>
            <sz val="9"/>
            <color indexed="81"/>
            <rFont val="Arial"/>
            <family val="2"/>
          </rPr>
          <t xml:space="preserve">
</t>
        </r>
      </text>
    </comment>
    <comment ref="B1446" authorId="1">
      <text>
        <r>
          <rPr>
            <b/>
            <sz val="8"/>
            <color indexed="81"/>
            <rFont val="Tahoma"/>
            <family val="2"/>
          </rPr>
          <t>The Candidate ID is the permanent number that has been assigned to the Candidate by the RAD.</t>
        </r>
      </text>
    </comment>
    <comment ref="H1446" authorId="1">
      <text>
        <r>
          <rPr>
            <b/>
            <sz val="8"/>
            <color indexed="81"/>
            <rFont val="Tahoma"/>
            <family val="2"/>
          </rPr>
          <t xml:space="preserve">Please select from the drop-down list on the Teacher Summary Sheet.
</t>
        </r>
      </text>
    </comment>
    <comment ref="K1446" authorId="1">
      <text>
        <r>
          <rPr>
            <b/>
            <sz val="8"/>
            <color indexed="81"/>
            <rFont val="Tahoma"/>
            <family val="2"/>
          </rPr>
          <t>This is the venue at which the examination may take place.
Please select the preferred venue from the drop-down list on the Teacher Summary Sheet.</t>
        </r>
      </text>
    </comment>
    <comment ref="B144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44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45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452" authorId="2">
      <text>
        <r>
          <rPr>
            <b/>
            <sz val="8"/>
            <color indexed="81"/>
            <rFont val="Tahoma"/>
            <family val="2"/>
          </rPr>
          <t>On the Teacher Summary Sheet, please select whether the candidate is Male or Female as they are examined separately.</t>
        </r>
      </text>
    </comment>
    <comment ref="F145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45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45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455" authorId="2">
      <text>
        <r>
          <rPr>
            <b/>
            <sz val="8"/>
            <color indexed="81"/>
            <rFont val="Tahoma"/>
            <family val="2"/>
          </rPr>
          <t>Please select from the drop-down list.
If 'other' is selected, please give details of awarding body.</t>
        </r>
      </text>
    </comment>
    <comment ref="B145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456" authorId="2">
      <text>
        <r>
          <rPr>
            <b/>
            <sz val="8"/>
            <color indexed="81"/>
            <rFont val="Tahoma"/>
            <family val="2"/>
          </rPr>
          <t>Please select the result of the examination from the drop-down list.</t>
        </r>
      </text>
    </comment>
    <comment ref="B1457" authorId="1">
      <text>
        <r>
          <rPr>
            <b/>
            <sz val="8"/>
            <color indexed="81"/>
            <rFont val="Tahoma"/>
            <family val="2"/>
          </rPr>
          <t xml:space="preserve">
If you have not yet been successful in a vocational graded examination, then leave this section blank.</t>
        </r>
      </text>
    </comment>
    <comment ref="B1458" authorId="2">
      <text>
        <r>
          <rPr>
            <b/>
            <sz val="8"/>
            <color indexed="81"/>
            <rFont val="Tahoma"/>
            <family val="2"/>
          </rPr>
          <t>Please select from the drop-down list.
If 'other' is selected, please give details of awarding body.</t>
        </r>
      </text>
    </comment>
    <comment ref="B145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459" authorId="2">
      <text>
        <r>
          <rPr>
            <b/>
            <sz val="8"/>
            <color indexed="81"/>
            <rFont val="Tahoma"/>
            <family val="2"/>
          </rPr>
          <t>Please select the result of the examination from the drop-down list.</t>
        </r>
      </text>
    </comment>
    <comment ref="B146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46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46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478" authorId="0">
      <text>
        <r>
          <rPr>
            <b/>
            <sz val="9"/>
            <color indexed="81"/>
            <rFont val="Arial"/>
            <family val="2"/>
          </rPr>
          <t xml:space="preserve">
Instructions on completing the respective field.</t>
        </r>
        <r>
          <rPr>
            <sz val="9"/>
            <color indexed="81"/>
            <rFont val="Arial"/>
            <family val="2"/>
          </rPr>
          <t xml:space="preserve">
</t>
        </r>
      </text>
    </comment>
    <comment ref="B1481" authorId="1">
      <text>
        <r>
          <rPr>
            <b/>
            <sz val="8"/>
            <color indexed="81"/>
            <rFont val="Tahoma"/>
            <family val="2"/>
          </rPr>
          <t>The Candidate ID is the permanent number that has been assigned to the Candidate by the RAD.</t>
        </r>
      </text>
    </comment>
    <comment ref="H1481" authorId="1">
      <text>
        <r>
          <rPr>
            <b/>
            <sz val="8"/>
            <color indexed="81"/>
            <rFont val="Tahoma"/>
            <family val="2"/>
          </rPr>
          <t xml:space="preserve">Please select from the drop-down list on the Teacher Summary Sheet.
</t>
        </r>
      </text>
    </comment>
    <comment ref="K1481" authorId="1">
      <text>
        <r>
          <rPr>
            <b/>
            <sz val="8"/>
            <color indexed="81"/>
            <rFont val="Tahoma"/>
            <family val="2"/>
          </rPr>
          <t>This is the venue at which the examination may take place.
Please select the preferred venue from the drop-down list on the Teacher Summary Sheet.</t>
        </r>
      </text>
    </comment>
    <comment ref="B148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48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48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487" authorId="2">
      <text>
        <r>
          <rPr>
            <b/>
            <sz val="8"/>
            <color indexed="81"/>
            <rFont val="Tahoma"/>
            <family val="2"/>
          </rPr>
          <t>On the Teacher Summary Sheet, please select whether the candidate is Male or Female as they are examined separately.</t>
        </r>
      </text>
    </comment>
    <comment ref="F148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48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48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490" authorId="2">
      <text>
        <r>
          <rPr>
            <b/>
            <sz val="8"/>
            <color indexed="81"/>
            <rFont val="Tahoma"/>
            <family val="2"/>
          </rPr>
          <t>Please select from the drop-down list.
If 'other' is selected, please give details of awarding body.</t>
        </r>
      </text>
    </comment>
    <comment ref="B149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491" authorId="2">
      <text>
        <r>
          <rPr>
            <b/>
            <sz val="8"/>
            <color indexed="81"/>
            <rFont val="Tahoma"/>
            <family val="2"/>
          </rPr>
          <t>Please select the result of the examination from the drop-down list.</t>
        </r>
      </text>
    </comment>
    <comment ref="B1492" authorId="1">
      <text>
        <r>
          <rPr>
            <b/>
            <sz val="8"/>
            <color indexed="81"/>
            <rFont val="Tahoma"/>
            <family val="2"/>
          </rPr>
          <t xml:space="preserve">
If you have not yet been successful in a vocational graded examination, then leave this section blank.</t>
        </r>
      </text>
    </comment>
    <comment ref="B1493" authorId="2">
      <text>
        <r>
          <rPr>
            <b/>
            <sz val="8"/>
            <color indexed="81"/>
            <rFont val="Tahoma"/>
            <family val="2"/>
          </rPr>
          <t>Please select from the drop-down list.
If 'other' is selected, please give details of awarding body.</t>
        </r>
      </text>
    </comment>
    <comment ref="B149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494" authorId="2">
      <text>
        <r>
          <rPr>
            <b/>
            <sz val="8"/>
            <color indexed="81"/>
            <rFont val="Tahoma"/>
            <family val="2"/>
          </rPr>
          <t>Please select the result of the examination from the drop-down list.</t>
        </r>
      </text>
    </comment>
    <comment ref="B149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49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50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513" authorId="0">
      <text>
        <r>
          <rPr>
            <b/>
            <sz val="9"/>
            <color indexed="81"/>
            <rFont val="Arial"/>
            <family val="2"/>
          </rPr>
          <t xml:space="preserve">
Instructions on completing the respective field.</t>
        </r>
        <r>
          <rPr>
            <sz val="9"/>
            <color indexed="81"/>
            <rFont val="Arial"/>
            <family val="2"/>
          </rPr>
          <t xml:space="preserve">
</t>
        </r>
      </text>
    </comment>
    <comment ref="B1516" authorId="1">
      <text>
        <r>
          <rPr>
            <b/>
            <sz val="8"/>
            <color indexed="81"/>
            <rFont val="Tahoma"/>
            <family val="2"/>
          </rPr>
          <t>The Candidate ID is the permanent number that has been assigned to the Candidate by the RAD.</t>
        </r>
      </text>
    </comment>
    <comment ref="H1516" authorId="1">
      <text>
        <r>
          <rPr>
            <b/>
            <sz val="8"/>
            <color indexed="81"/>
            <rFont val="Tahoma"/>
            <family val="2"/>
          </rPr>
          <t xml:space="preserve">Please select from the drop-down list on the Teacher Summary Sheet.
</t>
        </r>
      </text>
    </comment>
    <comment ref="K1516" authorId="1">
      <text>
        <r>
          <rPr>
            <b/>
            <sz val="8"/>
            <color indexed="81"/>
            <rFont val="Tahoma"/>
            <family val="2"/>
          </rPr>
          <t>This is the venue at which the examination may take place.
Please select the preferred venue from the drop-down list on the Teacher Summary Sheet.</t>
        </r>
      </text>
    </comment>
    <comment ref="B151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51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52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522" authorId="2">
      <text>
        <r>
          <rPr>
            <b/>
            <sz val="8"/>
            <color indexed="81"/>
            <rFont val="Tahoma"/>
            <family val="2"/>
          </rPr>
          <t>On the Teacher Summary Sheet, please select whether the candidate is Male or Female as they are examined separately.</t>
        </r>
      </text>
    </comment>
    <comment ref="F152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52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52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525" authorId="2">
      <text>
        <r>
          <rPr>
            <b/>
            <sz val="8"/>
            <color indexed="81"/>
            <rFont val="Tahoma"/>
            <family val="2"/>
          </rPr>
          <t>Please select from the drop-down list.
If 'other' is selected, please give details of awarding body.</t>
        </r>
      </text>
    </comment>
    <comment ref="B152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526" authorId="2">
      <text>
        <r>
          <rPr>
            <b/>
            <sz val="8"/>
            <color indexed="81"/>
            <rFont val="Tahoma"/>
            <family val="2"/>
          </rPr>
          <t>Please select the result of the examination from the drop-down list.</t>
        </r>
      </text>
    </comment>
    <comment ref="B1527" authorId="1">
      <text>
        <r>
          <rPr>
            <b/>
            <sz val="8"/>
            <color indexed="81"/>
            <rFont val="Tahoma"/>
            <family val="2"/>
          </rPr>
          <t xml:space="preserve">
If you have not yet been successful in a vocational graded examination, then leave this section blank.</t>
        </r>
      </text>
    </comment>
    <comment ref="B1528" authorId="2">
      <text>
        <r>
          <rPr>
            <b/>
            <sz val="8"/>
            <color indexed="81"/>
            <rFont val="Tahoma"/>
            <family val="2"/>
          </rPr>
          <t>Please select from the drop-down list.
If 'other' is selected, please give details of awarding body.</t>
        </r>
      </text>
    </comment>
    <comment ref="B152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529" authorId="2">
      <text>
        <r>
          <rPr>
            <b/>
            <sz val="8"/>
            <color indexed="81"/>
            <rFont val="Tahoma"/>
            <family val="2"/>
          </rPr>
          <t>Please select the result of the examination from the drop-down list.</t>
        </r>
      </text>
    </comment>
    <comment ref="B153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53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53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548" authorId="0">
      <text>
        <r>
          <rPr>
            <b/>
            <sz val="9"/>
            <color indexed="81"/>
            <rFont val="Arial"/>
            <family val="2"/>
          </rPr>
          <t xml:space="preserve">
Instructions on completing the respective field.</t>
        </r>
        <r>
          <rPr>
            <sz val="9"/>
            <color indexed="81"/>
            <rFont val="Arial"/>
            <family val="2"/>
          </rPr>
          <t xml:space="preserve">
</t>
        </r>
      </text>
    </comment>
    <comment ref="B1551" authorId="1">
      <text>
        <r>
          <rPr>
            <b/>
            <sz val="8"/>
            <color indexed="81"/>
            <rFont val="Tahoma"/>
            <family val="2"/>
          </rPr>
          <t>The Candidate ID is the permanent number that has been assigned to the Candidate by the RAD.</t>
        </r>
      </text>
    </comment>
    <comment ref="H1551" authorId="1">
      <text>
        <r>
          <rPr>
            <b/>
            <sz val="8"/>
            <color indexed="81"/>
            <rFont val="Tahoma"/>
            <family val="2"/>
          </rPr>
          <t xml:space="preserve">Please select from the drop-down list on the Teacher Summary Sheet.
</t>
        </r>
      </text>
    </comment>
    <comment ref="K1551" authorId="1">
      <text>
        <r>
          <rPr>
            <b/>
            <sz val="8"/>
            <color indexed="81"/>
            <rFont val="Tahoma"/>
            <family val="2"/>
          </rPr>
          <t>This is the venue at which the examination may take place.
Please select the preferred venue from the drop-down list on the Teacher Summary Sheet.</t>
        </r>
      </text>
    </comment>
    <comment ref="B155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55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55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557" authorId="2">
      <text>
        <r>
          <rPr>
            <b/>
            <sz val="8"/>
            <color indexed="81"/>
            <rFont val="Tahoma"/>
            <family val="2"/>
          </rPr>
          <t>On the Teacher Summary Sheet, please select whether the candidate is Male or Female as they are examined separately.</t>
        </r>
      </text>
    </comment>
    <comment ref="F155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55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55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560" authorId="2">
      <text>
        <r>
          <rPr>
            <b/>
            <sz val="8"/>
            <color indexed="81"/>
            <rFont val="Tahoma"/>
            <family val="2"/>
          </rPr>
          <t>Please select from the drop-down list.
If 'other' is selected, please give details of awarding body.</t>
        </r>
      </text>
    </comment>
    <comment ref="B156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561" authorId="2">
      <text>
        <r>
          <rPr>
            <b/>
            <sz val="8"/>
            <color indexed="81"/>
            <rFont val="Tahoma"/>
            <family val="2"/>
          </rPr>
          <t>Please select the result of the examination from the drop-down list.</t>
        </r>
      </text>
    </comment>
    <comment ref="B1562" authorId="1">
      <text>
        <r>
          <rPr>
            <b/>
            <sz val="8"/>
            <color indexed="81"/>
            <rFont val="Tahoma"/>
            <family val="2"/>
          </rPr>
          <t xml:space="preserve">
If you have not yet been successful in a vocational graded examination, then leave this section blank.</t>
        </r>
      </text>
    </comment>
    <comment ref="B1563" authorId="2">
      <text>
        <r>
          <rPr>
            <b/>
            <sz val="8"/>
            <color indexed="81"/>
            <rFont val="Tahoma"/>
            <family val="2"/>
          </rPr>
          <t>Please select from the drop-down list.
If 'other' is selected, please give details of awarding body.</t>
        </r>
      </text>
    </comment>
    <comment ref="B156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564" authorId="2">
      <text>
        <r>
          <rPr>
            <b/>
            <sz val="8"/>
            <color indexed="81"/>
            <rFont val="Tahoma"/>
            <family val="2"/>
          </rPr>
          <t>Please select the result of the examination from the drop-down list.</t>
        </r>
      </text>
    </comment>
    <comment ref="B156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56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57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583" authorId="0">
      <text>
        <r>
          <rPr>
            <b/>
            <sz val="9"/>
            <color indexed="81"/>
            <rFont val="Arial"/>
            <family val="2"/>
          </rPr>
          <t xml:space="preserve">
Instructions on completing the respective field.</t>
        </r>
        <r>
          <rPr>
            <sz val="9"/>
            <color indexed="81"/>
            <rFont val="Arial"/>
            <family val="2"/>
          </rPr>
          <t xml:space="preserve">
</t>
        </r>
      </text>
    </comment>
    <comment ref="B1586" authorId="1">
      <text>
        <r>
          <rPr>
            <b/>
            <sz val="8"/>
            <color indexed="81"/>
            <rFont val="Tahoma"/>
            <family val="2"/>
          </rPr>
          <t>The Candidate ID is the permanent number that has been assigned to the Candidate by the RAD.</t>
        </r>
      </text>
    </comment>
    <comment ref="H1586" authorId="1">
      <text>
        <r>
          <rPr>
            <b/>
            <sz val="8"/>
            <color indexed="81"/>
            <rFont val="Tahoma"/>
            <family val="2"/>
          </rPr>
          <t xml:space="preserve">Please select from the drop-down list on the Teacher Summary Sheet.
</t>
        </r>
      </text>
    </comment>
    <comment ref="K1586" authorId="1">
      <text>
        <r>
          <rPr>
            <b/>
            <sz val="8"/>
            <color indexed="81"/>
            <rFont val="Tahoma"/>
            <family val="2"/>
          </rPr>
          <t>This is the venue at which the examination may take place.
Please select the preferred venue from the drop-down list on the Teacher Summary Sheet.</t>
        </r>
      </text>
    </comment>
    <comment ref="B158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58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59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592" authorId="2">
      <text>
        <r>
          <rPr>
            <b/>
            <sz val="8"/>
            <color indexed="81"/>
            <rFont val="Tahoma"/>
            <family val="2"/>
          </rPr>
          <t>On the Teacher Summary Sheet, please select whether the candidate is Male or Female as they are examined separately.</t>
        </r>
      </text>
    </comment>
    <comment ref="F159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59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59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595" authorId="2">
      <text>
        <r>
          <rPr>
            <b/>
            <sz val="8"/>
            <color indexed="81"/>
            <rFont val="Tahoma"/>
            <family val="2"/>
          </rPr>
          <t>Please select from the drop-down list.
If 'other' is selected, please give details of awarding body.</t>
        </r>
      </text>
    </comment>
    <comment ref="B159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596" authorId="2">
      <text>
        <r>
          <rPr>
            <b/>
            <sz val="8"/>
            <color indexed="81"/>
            <rFont val="Tahoma"/>
            <family val="2"/>
          </rPr>
          <t>Please select the result of the examination from the drop-down list.</t>
        </r>
      </text>
    </comment>
    <comment ref="B1597" authorId="1">
      <text>
        <r>
          <rPr>
            <b/>
            <sz val="8"/>
            <color indexed="81"/>
            <rFont val="Tahoma"/>
            <family val="2"/>
          </rPr>
          <t xml:space="preserve">
If you have not yet been successful in a vocational graded examination, then leave this section blank.</t>
        </r>
      </text>
    </comment>
    <comment ref="B1598" authorId="2">
      <text>
        <r>
          <rPr>
            <b/>
            <sz val="8"/>
            <color indexed="81"/>
            <rFont val="Tahoma"/>
            <family val="2"/>
          </rPr>
          <t>Please select from the drop-down list.
If 'other' is selected, please give details of awarding body.</t>
        </r>
      </text>
    </comment>
    <comment ref="B159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599" authorId="2">
      <text>
        <r>
          <rPr>
            <b/>
            <sz val="8"/>
            <color indexed="81"/>
            <rFont val="Tahoma"/>
            <family val="2"/>
          </rPr>
          <t>Please select the result of the examination from the drop-down list.</t>
        </r>
      </text>
    </comment>
    <comment ref="B160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60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60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618" authorId="0">
      <text>
        <r>
          <rPr>
            <b/>
            <sz val="9"/>
            <color indexed="81"/>
            <rFont val="Arial"/>
            <family val="2"/>
          </rPr>
          <t xml:space="preserve">
Instructions on completing the respective field.</t>
        </r>
        <r>
          <rPr>
            <sz val="9"/>
            <color indexed="81"/>
            <rFont val="Arial"/>
            <family val="2"/>
          </rPr>
          <t xml:space="preserve">
</t>
        </r>
      </text>
    </comment>
    <comment ref="B1621" authorId="1">
      <text>
        <r>
          <rPr>
            <b/>
            <sz val="8"/>
            <color indexed="81"/>
            <rFont val="Tahoma"/>
            <family val="2"/>
          </rPr>
          <t>The Candidate ID is the permanent number that has been assigned to the Candidate by the RAD.</t>
        </r>
      </text>
    </comment>
    <comment ref="H1621" authorId="1">
      <text>
        <r>
          <rPr>
            <b/>
            <sz val="8"/>
            <color indexed="81"/>
            <rFont val="Tahoma"/>
            <family val="2"/>
          </rPr>
          <t xml:space="preserve">Please select from the drop-down list on the Teacher Summary Sheet.
</t>
        </r>
      </text>
    </comment>
    <comment ref="K1621" authorId="1">
      <text>
        <r>
          <rPr>
            <b/>
            <sz val="8"/>
            <color indexed="81"/>
            <rFont val="Tahoma"/>
            <family val="2"/>
          </rPr>
          <t>This is the venue at which the examination may take place.
Please select the preferred venue from the drop-down list on the Teacher Summary Sheet.</t>
        </r>
      </text>
    </comment>
    <comment ref="B162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62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62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627" authorId="2">
      <text>
        <r>
          <rPr>
            <b/>
            <sz val="8"/>
            <color indexed="81"/>
            <rFont val="Tahoma"/>
            <family val="2"/>
          </rPr>
          <t>On the Teacher Summary Sheet, please select whether the candidate is Male or Female as they are examined separately.</t>
        </r>
      </text>
    </comment>
    <comment ref="F162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62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62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630" authorId="2">
      <text>
        <r>
          <rPr>
            <b/>
            <sz val="8"/>
            <color indexed="81"/>
            <rFont val="Tahoma"/>
            <family val="2"/>
          </rPr>
          <t>Please select from the drop-down list.
If 'other' is selected, please give details of awarding body.</t>
        </r>
      </text>
    </comment>
    <comment ref="B163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631" authorId="2">
      <text>
        <r>
          <rPr>
            <b/>
            <sz val="8"/>
            <color indexed="81"/>
            <rFont val="Tahoma"/>
            <family val="2"/>
          </rPr>
          <t>Please select the result of the examination from the drop-down list.</t>
        </r>
      </text>
    </comment>
    <comment ref="B1632" authorId="1">
      <text>
        <r>
          <rPr>
            <b/>
            <sz val="8"/>
            <color indexed="81"/>
            <rFont val="Tahoma"/>
            <family val="2"/>
          </rPr>
          <t xml:space="preserve">
If you have not yet been successful in a vocational graded examination, then leave this section blank.</t>
        </r>
      </text>
    </comment>
    <comment ref="B1633" authorId="2">
      <text>
        <r>
          <rPr>
            <b/>
            <sz val="8"/>
            <color indexed="81"/>
            <rFont val="Tahoma"/>
            <family val="2"/>
          </rPr>
          <t>Please select from the drop-down list.
If 'other' is selected, please give details of awarding body.</t>
        </r>
      </text>
    </comment>
    <comment ref="B163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634" authorId="2">
      <text>
        <r>
          <rPr>
            <b/>
            <sz val="8"/>
            <color indexed="81"/>
            <rFont val="Tahoma"/>
            <family val="2"/>
          </rPr>
          <t>Please select the result of the examination from the drop-down list.</t>
        </r>
      </text>
    </comment>
    <comment ref="B163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63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64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653" authorId="0">
      <text>
        <r>
          <rPr>
            <b/>
            <sz val="9"/>
            <color indexed="81"/>
            <rFont val="Arial"/>
            <family val="2"/>
          </rPr>
          <t xml:space="preserve">
Instructions on completing the respective field.</t>
        </r>
        <r>
          <rPr>
            <sz val="9"/>
            <color indexed="81"/>
            <rFont val="Arial"/>
            <family val="2"/>
          </rPr>
          <t xml:space="preserve">
</t>
        </r>
      </text>
    </comment>
    <comment ref="B1656" authorId="1">
      <text>
        <r>
          <rPr>
            <b/>
            <sz val="8"/>
            <color indexed="81"/>
            <rFont val="Tahoma"/>
            <family val="2"/>
          </rPr>
          <t>The Candidate ID is the permanent number that has been assigned to the Candidate by the RAD.</t>
        </r>
      </text>
    </comment>
    <comment ref="H1656" authorId="1">
      <text>
        <r>
          <rPr>
            <b/>
            <sz val="8"/>
            <color indexed="81"/>
            <rFont val="Tahoma"/>
            <family val="2"/>
          </rPr>
          <t xml:space="preserve">Please select from the drop-down list on the Teacher Summary Sheet.
</t>
        </r>
      </text>
    </comment>
    <comment ref="K1656" authorId="1">
      <text>
        <r>
          <rPr>
            <b/>
            <sz val="8"/>
            <color indexed="81"/>
            <rFont val="Tahoma"/>
            <family val="2"/>
          </rPr>
          <t>This is the venue at which the examination may take place.
Please select the preferred venue from the drop-down list on the Teacher Summary Sheet.</t>
        </r>
      </text>
    </comment>
    <comment ref="B165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65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66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662" authorId="2">
      <text>
        <r>
          <rPr>
            <b/>
            <sz val="8"/>
            <color indexed="81"/>
            <rFont val="Tahoma"/>
            <family val="2"/>
          </rPr>
          <t>On the Teacher Summary Sheet, please select whether the candidate is Male or Female as they are examined separately.</t>
        </r>
      </text>
    </comment>
    <comment ref="F166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66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66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665" authorId="2">
      <text>
        <r>
          <rPr>
            <b/>
            <sz val="8"/>
            <color indexed="81"/>
            <rFont val="Tahoma"/>
            <family val="2"/>
          </rPr>
          <t>Please select from the drop-down list.
If 'other' is selected, please give details of awarding body.</t>
        </r>
      </text>
    </comment>
    <comment ref="B166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666" authorId="2">
      <text>
        <r>
          <rPr>
            <b/>
            <sz val="8"/>
            <color indexed="81"/>
            <rFont val="Tahoma"/>
            <family val="2"/>
          </rPr>
          <t>Please select the result of the examination from the drop-down list.</t>
        </r>
      </text>
    </comment>
    <comment ref="B1667" authorId="1">
      <text>
        <r>
          <rPr>
            <b/>
            <sz val="8"/>
            <color indexed="81"/>
            <rFont val="Tahoma"/>
            <family val="2"/>
          </rPr>
          <t xml:space="preserve">
If you have not yet been successful in a vocational graded examination, then leave this section blank.</t>
        </r>
      </text>
    </comment>
    <comment ref="B1668" authorId="2">
      <text>
        <r>
          <rPr>
            <b/>
            <sz val="8"/>
            <color indexed="81"/>
            <rFont val="Tahoma"/>
            <family val="2"/>
          </rPr>
          <t>Please select from the drop-down list.
If 'other' is selected, please give details of awarding body.</t>
        </r>
      </text>
    </comment>
    <comment ref="B166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669" authorId="2">
      <text>
        <r>
          <rPr>
            <b/>
            <sz val="8"/>
            <color indexed="81"/>
            <rFont val="Tahoma"/>
            <family val="2"/>
          </rPr>
          <t>Please select the result of the examination from the drop-down list.</t>
        </r>
      </text>
    </comment>
    <comment ref="B167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67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67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688" authorId="0">
      <text>
        <r>
          <rPr>
            <b/>
            <sz val="9"/>
            <color indexed="81"/>
            <rFont val="Arial"/>
            <family val="2"/>
          </rPr>
          <t xml:space="preserve">
Instructions on completing the respective field.</t>
        </r>
        <r>
          <rPr>
            <sz val="9"/>
            <color indexed="81"/>
            <rFont val="Arial"/>
            <family val="2"/>
          </rPr>
          <t xml:space="preserve">
</t>
        </r>
      </text>
    </comment>
    <comment ref="B1691" authorId="1">
      <text>
        <r>
          <rPr>
            <b/>
            <sz val="8"/>
            <color indexed="81"/>
            <rFont val="Tahoma"/>
            <family val="2"/>
          </rPr>
          <t>The Candidate ID is the permanent number that has been assigned to the Candidate by the RAD.</t>
        </r>
      </text>
    </comment>
    <comment ref="H1691" authorId="1">
      <text>
        <r>
          <rPr>
            <b/>
            <sz val="8"/>
            <color indexed="81"/>
            <rFont val="Tahoma"/>
            <family val="2"/>
          </rPr>
          <t xml:space="preserve">Please select from the drop-down list on the Teacher Summary Sheet.
</t>
        </r>
      </text>
    </comment>
    <comment ref="K1691" authorId="1">
      <text>
        <r>
          <rPr>
            <b/>
            <sz val="8"/>
            <color indexed="81"/>
            <rFont val="Tahoma"/>
            <family val="2"/>
          </rPr>
          <t>This is the venue at which the examination may take place.
Please select the preferred venue from the drop-down list on the Teacher Summary Sheet.</t>
        </r>
      </text>
    </comment>
    <comment ref="B169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69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69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697" authorId="2">
      <text>
        <r>
          <rPr>
            <b/>
            <sz val="8"/>
            <color indexed="81"/>
            <rFont val="Tahoma"/>
            <family val="2"/>
          </rPr>
          <t>On the Teacher Summary Sheet, please select whether the candidate is Male or Female as they are examined separately.</t>
        </r>
      </text>
    </comment>
    <comment ref="F169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69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69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700" authorId="2">
      <text>
        <r>
          <rPr>
            <b/>
            <sz val="8"/>
            <color indexed="81"/>
            <rFont val="Tahoma"/>
            <family val="2"/>
          </rPr>
          <t>Please select from the drop-down list.
If 'other' is selected, please give details of awarding body.</t>
        </r>
      </text>
    </comment>
    <comment ref="B170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701" authorId="2">
      <text>
        <r>
          <rPr>
            <b/>
            <sz val="8"/>
            <color indexed="81"/>
            <rFont val="Tahoma"/>
            <family val="2"/>
          </rPr>
          <t>Please select the result of the examination from the drop-down list.</t>
        </r>
      </text>
    </comment>
    <comment ref="B1702" authorId="1">
      <text>
        <r>
          <rPr>
            <b/>
            <sz val="8"/>
            <color indexed="81"/>
            <rFont val="Tahoma"/>
            <family val="2"/>
          </rPr>
          <t xml:space="preserve">
If you have not yet been successful in a vocational graded examination, then leave this section blank.</t>
        </r>
      </text>
    </comment>
    <comment ref="B1703" authorId="2">
      <text>
        <r>
          <rPr>
            <b/>
            <sz val="8"/>
            <color indexed="81"/>
            <rFont val="Tahoma"/>
            <family val="2"/>
          </rPr>
          <t>Please select from the drop-down list.
If 'other' is selected, please give details of awarding body.</t>
        </r>
      </text>
    </comment>
    <comment ref="B170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704" authorId="2">
      <text>
        <r>
          <rPr>
            <b/>
            <sz val="8"/>
            <color indexed="81"/>
            <rFont val="Tahoma"/>
            <family val="2"/>
          </rPr>
          <t>Please select the result of the examination from the drop-down list.</t>
        </r>
      </text>
    </comment>
    <comment ref="B170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70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71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723" authorId="0">
      <text>
        <r>
          <rPr>
            <b/>
            <sz val="9"/>
            <color indexed="81"/>
            <rFont val="Arial"/>
            <family val="2"/>
          </rPr>
          <t xml:space="preserve">
Instructions on completing the respective field.</t>
        </r>
        <r>
          <rPr>
            <sz val="9"/>
            <color indexed="81"/>
            <rFont val="Arial"/>
            <family val="2"/>
          </rPr>
          <t xml:space="preserve">
</t>
        </r>
      </text>
    </comment>
    <comment ref="B1726" authorId="1">
      <text>
        <r>
          <rPr>
            <b/>
            <sz val="8"/>
            <color indexed="81"/>
            <rFont val="Tahoma"/>
            <family val="2"/>
          </rPr>
          <t>The Candidate ID is the permanent number that has been assigned to the Candidate by the RAD.</t>
        </r>
      </text>
    </comment>
    <comment ref="H1726" authorId="1">
      <text>
        <r>
          <rPr>
            <b/>
            <sz val="8"/>
            <color indexed="81"/>
            <rFont val="Tahoma"/>
            <family val="2"/>
          </rPr>
          <t xml:space="preserve">Please select from the drop-down list on the Teacher Summary Sheet.
</t>
        </r>
      </text>
    </comment>
    <comment ref="K1726" authorId="1">
      <text>
        <r>
          <rPr>
            <b/>
            <sz val="8"/>
            <color indexed="81"/>
            <rFont val="Tahoma"/>
            <family val="2"/>
          </rPr>
          <t>This is the venue at which the examination may take place.
Please select the preferred venue from the drop-down list on the Teacher Summary Sheet.</t>
        </r>
      </text>
    </comment>
    <comment ref="B172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72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73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732" authorId="2">
      <text>
        <r>
          <rPr>
            <b/>
            <sz val="8"/>
            <color indexed="81"/>
            <rFont val="Tahoma"/>
            <family val="2"/>
          </rPr>
          <t>On the Teacher Summary Sheet, please select whether the candidate is Male or Female as they are examined separately.</t>
        </r>
      </text>
    </comment>
    <comment ref="F173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73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73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735" authorId="2">
      <text>
        <r>
          <rPr>
            <b/>
            <sz val="8"/>
            <color indexed="81"/>
            <rFont val="Tahoma"/>
            <family val="2"/>
          </rPr>
          <t>Please select from the drop-down list.
If 'other' is selected, please give details of awarding body.</t>
        </r>
      </text>
    </comment>
    <comment ref="B173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736" authorId="2">
      <text>
        <r>
          <rPr>
            <b/>
            <sz val="8"/>
            <color indexed="81"/>
            <rFont val="Tahoma"/>
            <family val="2"/>
          </rPr>
          <t>Please select the result of the examination from the drop-down list.</t>
        </r>
      </text>
    </comment>
    <comment ref="B1737" authorId="1">
      <text>
        <r>
          <rPr>
            <b/>
            <sz val="8"/>
            <color indexed="81"/>
            <rFont val="Tahoma"/>
            <family val="2"/>
          </rPr>
          <t xml:space="preserve">
If you have not yet been successful in a vocational graded examination, then leave this section blank.</t>
        </r>
      </text>
    </comment>
    <comment ref="B1738" authorId="2">
      <text>
        <r>
          <rPr>
            <b/>
            <sz val="8"/>
            <color indexed="81"/>
            <rFont val="Tahoma"/>
            <family val="2"/>
          </rPr>
          <t>Please select from the drop-down list.
If 'other' is selected, please give details of awarding body.</t>
        </r>
      </text>
    </comment>
    <comment ref="B173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739" authorId="2">
      <text>
        <r>
          <rPr>
            <b/>
            <sz val="8"/>
            <color indexed="81"/>
            <rFont val="Tahoma"/>
            <family val="2"/>
          </rPr>
          <t>Please select the result of the examination from the drop-down list.</t>
        </r>
      </text>
    </comment>
    <comment ref="B174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74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74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758" authorId="0">
      <text>
        <r>
          <rPr>
            <b/>
            <sz val="9"/>
            <color indexed="81"/>
            <rFont val="Arial"/>
            <family val="2"/>
          </rPr>
          <t xml:space="preserve">
Instructions on completing the respective field.</t>
        </r>
        <r>
          <rPr>
            <sz val="9"/>
            <color indexed="81"/>
            <rFont val="Arial"/>
            <family val="2"/>
          </rPr>
          <t xml:space="preserve">
</t>
        </r>
      </text>
    </comment>
    <comment ref="B1761" authorId="1">
      <text>
        <r>
          <rPr>
            <b/>
            <sz val="8"/>
            <color indexed="81"/>
            <rFont val="Tahoma"/>
            <family val="2"/>
          </rPr>
          <t>The Candidate ID is the permanent number that has been assigned to the Candidate by the RAD.</t>
        </r>
      </text>
    </comment>
    <comment ref="H1761" authorId="1">
      <text>
        <r>
          <rPr>
            <b/>
            <sz val="8"/>
            <color indexed="81"/>
            <rFont val="Tahoma"/>
            <family val="2"/>
          </rPr>
          <t xml:space="preserve">Please select from the drop-down list on the Teacher Summary Sheet.
</t>
        </r>
      </text>
    </comment>
    <comment ref="K1761" authorId="1">
      <text>
        <r>
          <rPr>
            <b/>
            <sz val="8"/>
            <color indexed="81"/>
            <rFont val="Tahoma"/>
            <family val="2"/>
          </rPr>
          <t>This is the venue at which the examination may take place.
Please select the preferred venue from the drop-down list on the Teacher Summary Sheet.</t>
        </r>
      </text>
    </comment>
    <comment ref="B176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76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76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767" authorId="2">
      <text>
        <r>
          <rPr>
            <b/>
            <sz val="8"/>
            <color indexed="81"/>
            <rFont val="Tahoma"/>
            <family val="2"/>
          </rPr>
          <t>On the Teacher Summary Sheet, please select whether the candidate is Male or Female as they are examined separately.</t>
        </r>
      </text>
    </comment>
    <comment ref="F176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76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76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770" authorId="2">
      <text>
        <r>
          <rPr>
            <b/>
            <sz val="8"/>
            <color indexed="81"/>
            <rFont val="Tahoma"/>
            <family val="2"/>
          </rPr>
          <t>Please select from the drop-down list.
If 'other' is selected, please give details of awarding body.</t>
        </r>
      </text>
    </comment>
    <comment ref="B177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771" authorId="2">
      <text>
        <r>
          <rPr>
            <b/>
            <sz val="8"/>
            <color indexed="81"/>
            <rFont val="Tahoma"/>
            <family val="2"/>
          </rPr>
          <t>Please select the result of the examination from the drop-down list.</t>
        </r>
      </text>
    </comment>
    <comment ref="B1772" authorId="1">
      <text>
        <r>
          <rPr>
            <b/>
            <sz val="8"/>
            <color indexed="81"/>
            <rFont val="Tahoma"/>
            <family val="2"/>
          </rPr>
          <t xml:space="preserve">
If you have not yet been successful in a vocational graded examination, then leave this section blank.</t>
        </r>
      </text>
    </comment>
    <comment ref="B1773" authorId="2">
      <text>
        <r>
          <rPr>
            <b/>
            <sz val="8"/>
            <color indexed="81"/>
            <rFont val="Tahoma"/>
            <family val="2"/>
          </rPr>
          <t>Please select from the drop-down list.
If 'other' is selected, please give details of awarding body.</t>
        </r>
      </text>
    </comment>
    <comment ref="B177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774" authorId="2">
      <text>
        <r>
          <rPr>
            <b/>
            <sz val="8"/>
            <color indexed="81"/>
            <rFont val="Tahoma"/>
            <family val="2"/>
          </rPr>
          <t>Please select the result of the examination from the drop-down list.</t>
        </r>
      </text>
    </comment>
    <comment ref="B177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77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78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793" authorId="0">
      <text>
        <r>
          <rPr>
            <b/>
            <sz val="9"/>
            <color indexed="81"/>
            <rFont val="Arial"/>
            <family val="2"/>
          </rPr>
          <t xml:space="preserve">
Instructions on completing the respective field.</t>
        </r>
        <r>
          <rPr>
            <sz val="9"/>
            <color indexed="81"/>
            <rFont val="Arial"/>
            <family val="2"/>
          </rPr>
          <t xml:space="preserve">
</t>
        </r>
      </text>
    </comment>
    <comment ref="B1796" authorId="1">
      <text>
        <r>
          <rPr>
            <b/>
            <sz val="8"/>
            <color indexed="81"/>
            <rFont val="Tahoma"/>
            <family val="2"/>
          </rPr>
          <t>The Candidate ID is the permanent number that has been assigned to the Candidate by the RAD.</t>
        </r>
      </text>
    </comment>
    <comment ref="H1796" authorId="1">
      <text>
        <r>
          <rPr>
            <b/>
            <sz val="8"/>
            <color indexed="81"/>
            <rFont val="Tahoma"/>
            <family val="2"/>
          </rPr>
          <t xml:space="preserve">Please select from the drop-down list on the Teacher Summary Sheet.
</t>
        </r>
      </text>
    </comment>
    <comment ref="K1796" authorId="1">
      <text>
        <r>
          <rPr>
            <b/>
            <sz val="8"/>
            <color indexed="81"/>
            <rFont val="Tahoma"/>
            <family val="2"/>
          </rPr>
          <t>This is the venue at which the examination may take place.
Please select the preferred venue from the drop-down list on the Teacher Summary Sheet.</t>
        </r>
      </text>
    </comment>
    <comment ref="B179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79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80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802" authorId="2">
      <text>
        <r>
          <rPr>
            <b/>
            <sz val="8"/>
            <color indexed="81"/>
            <rFont val="Tahoma"/>
            <family val="2"/>
          </rPr>
          <t>On the Teacher Summary Sheet, please select whether the candidate is Male or Female as they are examined separately.</t>
        </r>
      </text>
    </comment>
    <comment ref="F180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80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80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805" authorId="2">
      <text>
        <r>
          <rPr>
            <b/>
            <sz val="8"/>
            <color indexed="81"/>
            <rFont val="Tahoma"/>
            <family val="2"/>
          </rPr>
          <t>Please select from the drop-down list.
If 'other' is selected, please give details of awarding body.</t>
        </r>
      </text>
    </comment>
    <comment ref="B180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806" authorId="2">
      <text>
        <r>
          <rPr>
            <b/>
            <sz val="8"/>
            <color indexed="81"/>
            <rFont val="Tahoma"/>
            <family val="2"/>
          </rPr>
          <t>Please select the result of the examination from the drop-down list.</t>
        </r>
      </text>
    </comment>
    <comment ref="B1807" authorId="1">
      <text>
        <r>
          <rPr>
            <b/>
            <sz val="8"/>
            <color indexed="81"/>
            <rFont val="Tahoma"/>
            <family val="2"/>
          </rPr>
          <t xml:space="preserve">
If you have not yet been successful in a vocational graded examination, then leave this section blank.</t>
        </r>
      </text>
    </comment>
    <comment ref="B1808" authorId="2">
      <text>
        <r>
          <rPr>
            <b/>
            <sz val="8"/>
            <color indexed="81"/>
            <rFont val="Tahoma"/>
            <family val="2"/>
          </rPr>
          <t>Please select from the drop-down list.
If 'other' is selected, please give details of awarding body.</t>
        </r>
      </text>
    </comment>
    <comment ref="B180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809" authorId="2">
      <text>
        <r>
          <rPr>
            <b/>
            <sz val="8"/>
            <color indexed="81"/>
            <rFont val="Tahoma"/>
            <family val="2"/>
          </rPr>
          <t>Please select the result of the examination from the drop-down list.</t>
        </r>
      </text>
    </comment>
    <comment ref="B181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81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81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828" authorId="0">
      <text>
        <r>
          <rPr>
            <b/>
            <sz val="9"/>
            <color indexed="81"/>
            <rFont val="Arial"/>
            <family val="2"/>
          </rPr>
          <t xml:space="preserve">
Instructions on completing the respective field.</t>
        </r>
        <r>
          <rPr>
            <sz val="9"/>
            <color indexed="81"/>
            <rFont val="Arial"/>
            <family val="2"/>
          </rPr>
          <t xml:space="preserve">
</t>
        </r>
      </text>
    </comment>
    <comment ref="B1831" authorId="1">
      <text>
        <r>
          <rPr>
            <b/>
            <sz val="8"/>
            <color indexed="81"/>
            <rFont val="Tahoma"/>
            <family val="2"/>
          </rPr>
          <t>The Candidate ID is the permanent number that has been assigned to the Candidate by the RAD.</t>
        </r>
      </text>
    </comment>
    <comment ref="H1831" authorId="1">
      <text>
        <r>
          <rPr>
            <b/>
            <sz val="8"/>
            <color indexed="81"/>
            <rFont val="Tahoma"/>
            <family val="2"/>
          </rPr>
          <t xml:space="preserve">Please select from the drop-down list on the Teacher Summary Sheet.
</t>
        </r>
      </text>
    </comment>
    <comment ref="K1831" authorId="1">
      <text>
        <r>
          <rPr>
            <b/>
            <sz val="8"/>
            <color indexed="81"/>
            <rFont val="Tahoma"/>
            <family val="2"/>
          </rPr>
          <t>This is the venue at which the examination may take place.
Please select the preferred venue from the drop-down list on the Teacher Summary Sheet.</t>
        </r>
      </text>
    </comment>
    <comment ref="B183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83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83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837" authorId="2">
      <text>
        <r>
          <rPr>
            <b/>
            <sz val="8"/>
            <color indexed="81"/>
            <rFont val="Tahoma"/>
            <family val="2"/>
          </rPr>
          <t>On the Teacher Summary Sheet, please select whether the candidate is Male or Female as they are examined separately.</t>
        </r>
      </text>
    </comment>
    <comment ref="F183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83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83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840" authorId="2">
      <text>
        <r>
          <rPr>
            <b/>
            <sz val="8"/>
            <color indexed="81"/>
            <rFont val="Tahoma"/>
            <family val="2"/>
          </rPr>
          <t>Please select from the drop-down list.
If 'other' is selected, please give details of awarding body.</t>
        </r>
      </text>
    </comment>
    <comment ref="B184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841" authorId="2">
      <text>
        <r>
          <rPr>
            <b/>
            <sz val="8"/>
            <color indexed="81"/>
            <rFont val="Tahoma"/>
            <family val="2"/>
          </rPr>
          <t>Please select the result of the examination from the drop-down list.</t>
        </r>
      </text>
    </comment>
    <comment ref="B1842" authorId="1">
      <text>
        <r>
          <rPr>
            <b/>
            <sz val="8"/>
            <color indexed="81"/>
            <rFont val="Tahoma"/>
            <family val="2"/>
          </rPr>
          <t xml:space="preserve">
If you have not yet been successful in a vocational graded examination, then leave this section blank.</t>
        </r>
      </text>
    </comment>
    <comment ref="B1843" authorId="2">
      <text>
        <r>
          <rPr>
            <b/>
            <sz val="8"/>
            <color indexed="81"/>
            <rFont val="Tahoma"/>
            <family val="2"/>
          </rPr>
          <t>Please select from the drop-down list.
If 'other' is selected, please give details of awarding body.</t>
        </r>
      </text>
    </comment>
    <comment ref="B184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844" authorId="2">
      <text>
        <r>
          <rPr>
            <b/>
            <sz val="8"/>
            <color indexed="81"/>
            <rFont val="Tahoma"/>
            <family val="2"/>
          </rPr>
          <t>Please select the result of the examination from the drop-down list.</t>
        </r>
      </text>
    </comment>
    <comment ref="B184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84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85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863" authorId="0">
      <text>
        <r>
          <rPr>
            <b/>
            <sz val="9"/>
            <color indexed="81"/>
            <rFont val="Arial"/>
            <family val="2"/>
          </rPr>
          <t xml:space="preserve">
Instructions on completing the respective field.</t>
        </r>
        <r>
          <rPr>
            <sz val="9"/>
            <color indexed="81"/>
            <rFont val="Arial"/>
            <family val="2"/>
          </rPr>
          <t xml:space="preserve">
</t>
        </r>
      </text>
    </comment>
    <comment ref="B1866" authorId="1">
      <text>
        <r>
          <rPr>
            <b/>
            <sz val="8"/>
            <color indexed="81"/>
            <rFont val="Tahoma"/>
            <family val="2"/>
          </rPr>
          <t>The Candidate ID is the permanent number that has been assigned to the Candidate by the RAD.</t>
        </r>
      </text>
    </comment>
    <comment ref="H1866" authorId="1">
      <text>
        <r>
          <rPr>
            <b/>
            <sz val="8"/>
            <color indexed="81"/>
            <rFont val="Tahoma"/>
            <family val="2"/>
          </rPr>
          <t xml:space="preserve">Please select from the drop-down list on the Teacher Summary Sheet.
</t>
        </r>
      </text>
    </comment>
    <comment ref="K1866" authorId="1">
      <text>
        <r>
          <rPr>
            <b/>
            <sz val="8"/>
            <color indexed="81"/>
            <rFont val="Tahoma"/>
            <family val="2"/>
          </rPr>
          <t>This is the venue at which the examination may take place.
Please select the preferred venue from the drop-down list on the Teacher Summary Sheet.</t>
        </r>
      </text>
    </comment>
    <comment ref="B186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86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87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872" authorId="2">
      <text>
        <r>
          <rPr>
            <b/>
            <sz val="8"/>
            <color indexed="81"/>
            <rFont val="Tahoma"/>
            <family val="2"/>
          </rPr>
          <t>On the Teacher Summary Sheet, please select whether the candidate is Male or Female as they are examined separately.</t>
        </r>
      </text>
    </comment>
    <comment ref="F187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87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87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875" authorId="2">
      <text>
        <r>
          <rPr>
            <b/>
            <sz val="8"/>
            <color indexed="81"/>
            <rFont val="Tahoma"/>
            <family val="2"/>
          </rPr>
          <t>Please select from the drop-down list.
If 'other' is selected, please give details of awarding body.</t>
        </r>
      </text>
    </comment>
    <comment ref="B187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876" authorId="2">
      <text>
        <r>
          <rPr>
            <b/>
            <sz val="8"/>
            <color indexed="81"/>
            <rFont val="Tahoma"/>
            <family val="2"/>
          </rPr>
          <t>Please select the result of the examination from the drop-down list.</t>
        </r>
      </text>
    </comment>
    <comment ref="B1877" authorId="1">
      <text>
        <r>
          <rPr>
            <b/>
            <sz val="8"/>
            <color indexed="81"/>
            <rFont val="Tahoma"/>
            <family val="2"/>
          </rPr>
          <t xml:space="preserve">
If you have not yet been successful in a vocational graded examination, then leave this section blank.</t>
        </r>
      </text>
    </comment>
    <comment ref="B1878" authorId="2">
      <text>
        <r>
          <rPr>
            <b/>
            <sz val="8"/>
            <color indexed="81"/>
            <rFont val="Tahoma"/>
            <family val="2"/>
          </rPr>
          <t>Please select from the drop-down list.
If 'other' is selected, please give details of awarding body.</t>
        </r>
      </text>
    </comment>
    <comment ref="B187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879" authorId="2">
      <text>
        <r>
          <rPr>
            <b/>
            <sz val="8"/>
            <color indexed="81"/>
            <rFont val="Tahoma"/>
            <family val="2"/>
          </rPr>
          <t>Please select the result of the examination from the drop-down list.</t>
        </r>
      </text>
    </comment>
    <comment ref="B188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88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88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898" authorId="0">
      <text>
        <r>
          <rPr>
            <b/>
            <sz val="9"/>
            <color indexed="81"/>
            <rFont val="Arial"/>
            <family val="2"/>
          </rPr>
          <t xml:space="preserve">
Instructions on completing the respective field.</t>
        </r>
        <r>
          <rPr>
            <sz val="9"/>
            <color indexed="81"/>
            <rFont val="Arial"/>
            <family val="2"/>
          </rPr>
          <t xml:space="preserve">
</t>
        </r>
      </text>
    </comment>
    <comment ref="B1901" authorId="1">
      <text>
        <r>
          <rPr>
            <b/>
            <sz val="8"/>
            <color indexed="81"/>
            <rFont val="Tahoma"/>
            <family val="2"/>
          </rPr>
          <t>The Candidate ID is the permanent number that has been assigned to the Candidate by the RAD.</t>
        </r>
      </text>
    </comment>
    <comment ref="H1901" authorId="1">
      <text>
        <r>
          <rPr>
            <b/>
            <sz val="8"/>
            <color indexed="81"/>
            <rFont val="Tahoma"/>
            <family val="2"/>
          </rPr>
          <t xml:space="preserve">Please select from the drop-down list on the Teacher Summary Sheet.
</t>
        </r>
      </text>
    </comment>
    <comment ref="K1901" authorId="1">
      <text>
        <r>
          <rPr>
            <b/>
            <sz val="8"/>
            <color indexed="81"/>
            <rFont val="Tahoma"/>
            <family val="2"/>
          </rPr>
          <t>This is the venue at which the examination may take place.
Please select the preferred venue from the drop-down list on the Teacher Summary Sheet.</t>
        </r>
      </text>
    </comment>
    <comment ref="B190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90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90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907" authorId="2">
      <text>
        <r>
          <rPr>
            <b/>
            <sz val="8"/>
            <color indexed="81"/>
            <rFont val="Tahoma"/>
            <family val="2"/>
          </rPr>
          <t>On the Teacher Summary Sheet, please select whether the candidate is Male or Female as they are examined separately.</t>
        </r>
      </text>
    </comment>
    <comment ref="F190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90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90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910" authorId="2">
      <text>
        <r>
          <rPr>
            <b/>
            <sz val="8"/>
            <color indexed="81"/>
            <rFont val="Tahoma"/>
            <family val="2"/>
          </rPr>
          <t>Please select from the drop-down list.
If 'other' is selected, please give details of awarding body.</t>
        </r>
      </text>
    </comment>
    <comment ref="B191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11" authorId="2">
      <text>
        <r>
          <rPr>
            <b/>
            <sz val="8"/>
            <color indexed="81"/>
            <rFont val="Tahoma"/>
            <family val="2"/>
          </rPr>
          <t>Please select the result of the examination from the drop-down list.</t>
        </r>
      </text>
    </comment>
    <comment ref="B1912" authorId="1">
      <text>
        <r>
          <rPr>
            <b/>
            <sz val="8"/>
            <color indexed="81"/>
            <rFont val="Tahoma"/>
            <family val="2"/>
          </rPr>
          <t xml:space="preserve">
If you have not yet been successful in a vocational graded examination, then leave this section blank.</t>
        </r>
      </text>
    </comment>
    <comment ref="B1913" authorId="2">
      <text>
        <r>
          <rPr>
            <b/>
            <sz val="8"/>
            <color indexed="81"/>
            <rFont val="Tahoma"/>
            <family val="2"/>
          </rPr>
          <t>Please select from the drop-down list.
If 'other' is selected, please give details of awarding body.</t>
        </r>
      </text>
    </comment>
    <comment ref="B191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14" authorId="2">
      <text>
        <r>
          <rPr>
            <b/>
            <sz val="8"/>
            <color indexed="81"/>
            <rFont val="Tahoma"/>
            <family val="2"/>
          </rPr>
          <t>Please select the result of the examination from the drop-down list.</t>
        </r>
      </text>
    </comment>
    <comment ref="B191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91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92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933" authorId="0">
      <text>
        <r>
          <rPr>
            <b/>
            <sz val="9"/>
            <color indexed="81"/>
            <rFont val="Arial"/>
            <family val="2"/>
          </rPr>
          <t xml:space="preserve">
Instructions on completing the respective field.</t>
        </r>
        <r>
          <rPr>
            <sz val="9"/>
            <color indexed="81"/>
            <rFont val="Arial"/>
            <family val="2"/>
          </rPr>
          <t xml:space="preserve">
</t>
        </r>
      </text>
    </comment>
    <comment ref="B1936" authorId="1">
      <text>
        <r>
          <rPr>
            <b/>
            <sz val="8"/>
            <color indexed="81"/>
            <rFont val="Tahoma"/>
            <family val="2"/>
          </rPr>
          <t>The Candidate ID is the permanent number that has been assigned to the Candidate by the RAD.</t>
        </r>
      </text>
    </comment>
    <comment ref="H1936" authorId="1">
      <text>
        <r>
          <rPr>
            <b/>
            <sz val="8"/>
            <color indexed="81"/>
            <rFont val="Tahoma"/>
            <family val="2"/>
          </rPr>
          <t xml:space="preserve">Please select from the drop-down list on the Teacher Summary Sheet.
</t>
        </r>
      </text>
    </comment>
    <comment ref="K1936" authorId="1">
      <text>
        <r>
          <rPr>
            <b/>
            <sz val="8"/>
            <color indexed="81"/>
            <rFont val="Tahoma"/>
            <family val="2"/>
          </rPr>
          <t>This is the venue at which the examination may take place.
Please select the preferred venue from the drop-down list on the Teacher Summary Sheet.</t>
        </r>
      </text>
    </comment>
    <comment ref="B193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93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94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942" authorId="2">
      <text>
        <r>
          <rPr>
            <b/>
            <sz val="8"/>
            <color indexed="81"/>
            <rFont val="Tahoma"/>
            <family val="2"/>
          </rPr>
          <t>On the Teacher Summary Sheet, please select whether the candidate is Male or Female as they are examined separately.</t>
        </r>
      </text>
    </comment>
    <comment ref="F194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94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94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945" authorId="2">
      <text>
        <r>
          <rPr>
            <b/>
            <sz val="8"/>
            <color indexed="81"/>
            <rFont val="Tahoma"/>
            <family val="2"/>
          </rPr>
          <t>Please select from the drop-down list.
If 'other' is selected, please give details of awarding body.</t>
        </r>
      </text>
    </comment>
    <comment ref="B194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46" authorId="2">
      <text>
        <r>
          <rPr>
            <b/>
            <sz val="8"/>
            <color indexed="81"/>
            <rFont val="Tahoma"/>
            <family val="2"/>
          </rPr>
          <t>Please select the result of the examination from the drop-down list.</t>
        </r>
      </text>
    </comment>
    <comment ref="B1947" authorId="1">
      <text>
        <r>
          <rPr>
            <b/>
            <sz val="8"/>
            <color indexed="81"/>
            <rFont val="Tahoma"/>
            <family val="2"/>
          </rPr>
          <t xml:space="preserve">
If you have not yet been successful in a vocational graded examination, then leave this section blank.</t>
        </r>
      </text>
    </comment>
    <comment ref="B1948" authorId="2">
      <text>
        <r>
          <rPr>
            <b/>
            <sz val="8"/>
            <color indexed="81"/>
            <rFont val="Tahoma"/>
            <family val="2"/>
          </rPr>
          <t>Please select from the drop-down list.
If 'other' is selected, please give details of awarding body.</t>
        </r>
      </text>
    </comment>
    <comment ref="B194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49" authorId="2">
      <text>
        <r>
          <rPr>
            <b/>
            <sz val="8"/>
            <color indexed="81"/>
            <rFont val="Tahoma"/>
            <family val="2"/>
          </rPr>
          <t>Please select the result of the examination from the drop-down list.</t>
        </r>
      </text>
    </comment>
    <comment ref="B195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95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95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1968" authorId="0">
      <text>
        <r>
          <rPr>
            <b/>
            <sz val="9"/>
            <color indexed="81"/>
            <rFont val="Arial"/>
            <family val="2"/>
          </rPr>
          <t xml:space="preserve">
Instructions on completing the respective field.</t>
        </r>
        <r>
          <rPr>
            <sz val="9"/>
            <color indexed="81"/>
            <rFont val="Arial"/>
            <family val="2"/>
          </rPr>
          <t xml:space="preserve">
</t>
        </r>
      </text>
    </comment>
    <comment ref="B1971" authorId="1">
      <text>
        <r>
          <rPr>
            <b/>
            <sz val="8"/>
            <color indexed="81"/>
            <rFont val="Tahoma"/>
            <family val="2"/>
          </rPr>
          <t>The Candidate ID is the permanent number that has been assigned to the Candidate by the RAD.</t>
        </r>
      </text>
    </comment>
    <comment ref="H1971" authorId="1">
      <text>
        <r>
          <rPr>
            <b/>
            <sz val="8"/>
            <color indexed="81"/>
            <rFont val="Tahoma"/>
            <family val="2"/>
          </rPr>
          <t xml:space="preserve">Please select from the drop-down list on the Teacher Summary Sheet.
</t>
        </r>
      </text>
    </comment>
    <comment ref="K1971" authorId="1">
      <text>
        <r>
          <rPr>
            <b/>
            <sz val="8"/>
            <color indexed="81"/>
            <rFont val="Tahoma"/>
            <family val="2"/>
          </rPr>
          <t>This is the venue at which the examination may take place.
Please select the preferred venue from the drop-down list on the Teacher Summary Sheet.</t>
        </r>
      </text>
    </comment>
    <comment ref="B197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197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197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1977" authorId="2">
      <text>
        <r>
          <rPr>
            <b/>
            <sz val="8"/>
            <color indexed="81"/>
            <rFont val="Tahoma"/>
            <family val="2"/>
          </rPr>
          <t>On the Teacher Summary Sheet, please select whether the candidate is Male or Female as they are examined separately.</t>
        </r>
      </text>
    </comment>
    <comment ref="F197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197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197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1980" authorId="2">
      <text>
        <r>
          <rPr>
            <b/>
            <sz val="8"/>
            <color indexed="81"/>
            <rFont val="Tahoma"/>
            <family val="2"/>
          </rPr>
          <t>Please select from the drop-down list.
If 'other' is selected, please give details of awarding body.</t>
        </r>
      </text>
    </comment>
    <comment ref="B198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81" authorId="2">
      <text>
        <r>
          <rPr>
            <b/>
            <sz val="8"/>
            <color indexed="81"/>
            <rFont val="Tahoma"/>
            <family val="2"/>
          </rPr>
          <t>Please select the result of the examination from the drop-down list.</t>
        </r>
      </text>
    </comment>
    <comment ref="B1982" authorId="1">
      <text>
        <r>
          <rPr>
            <b/>
            <sz val="8"/>
            <color indexed="81"/>
            <rFont val="Tahoma"/>
            <family val="2"/>
          </rPr>
          <t xml:space="preserve">
If you have not yet been successful in a vocational graded examination, then leave this section blank.</t>
        </r>
      </text>
    </comment>
    <comment ref="B1983" authorId="2">
      <text>
        <r>
          <rPr>
            <b/>
            <sz val="8"/>
            <color indexed="81"/>
            <rFont val="Tahoma"/>
            <family val="2"/>
          </rPr>
          <t>Please select from the drop-down list.
If 'other' is selected, please give details of awarding body.</t>
        </r>
      </text>
    </comment>
    <comment ref="B198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1984" authorId="2">
      <text>
        <r>
          <rPr>
            <b/>
            <sz val="8"/>
            <color indexed="81"/>
            <rFont val="Tahoma"/>
            <family val="2"/>
          </rPr>
          <t>Please select the result of the examination from the drop-down list.</t>
        </r>
      </text>
    </comment>
    <comment ref="B198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198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199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2003" authorId="0">
      <text>
        <r>
          <rPr>
            <b/>
            <sz val="9"/>
            <color indexed="81"/>
            <rFont val="Arial"/>
            <family val="2"/>
          </rPr>
          <t xml:space="preserve">
Instructions on completing the respective field.</t>
        </r>
        <r>
          <rPr>
            <sz val="9"/>
            <color indexed="81"/>
            <rFont val="Arial"/>
            <family val="2"/>
          </rPr>
          <t xml:space="preserve">
</t>
        </r>
      </text>
    </comment>
    <comment ref="B2006" authorId="1">
      <text>
        <r>
          <rPr>
            <b/>
            <sz val="8"/>
            <color indexed="81"/>
            <rFont val="Tahoma"/>
            <family val="2"/>
          </rPr>
          <t>The Candidate ID is the permanent number that has been assigned to the Candidate by the RAD.</t>
        </r>
      </text>
    </comment>
    <comment ref="H2006" authorId="1">
      <text>
        <r>
          <rPr>
            <b/>
            <sz val="8"/>
            <color indexed="81"/>
            <rFont val="Tahoma"/>
            <family val="2"/>
          </rPr>
          <t xml:space="preserve">Please select from the drop-down list on the Teacher Summary Sheet.
</t>
        </r>
      </text>
    </comment>
    <comment ref="K2006" authorId="1">
      <text>
        <r>
          <rPr>
            <b/>
            <sz val="8"/>
            <color indexed="81"/>
            <rFont val="Tahoma"/>
            <family val="2"/>
          </rPr>
          <t>This is the venue at which the examination may take place.
Please select the preferred venue from the drop-down list on the Teacher Summary Sheet.</t>
        </r>
      </text>
    </comment>
    <comment ref="B200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200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201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2012" authorId="2">
      <text>
        <r>
          <rPr>
            <b/>
            <sz val="8"/>
            <color indexed="81"/>
            <rFont val="Tahoma"/>
            <family val="2"/>
          </rPr>
          <t>On the Teacher Summary Sheet, please select whether the candidate is Male or Female as they are examined separately.</t>
        </r>
      </text>
    </comment>
    <comment ref="F201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201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201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2015" authorId="2">
      <text>
        <r>
          <rPr>
            <b/>
            <sz val="8"/>
            <color indexed="81"/>
            <rFont val="Tahoma"/>
            <family val="2"/>
          </rPr>
          <t>Please select from the drop-down list.
If 'other' is selected, please give details of awarding body.</t>
        </r>
      </text>
    </comment>
    <comment ref="B201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016" authorId="2">
      <text>
        <r>
          <rPr>
            <b/>
            <sz val="8"/>
            <color indexed="81"/>
            <rFont val="Tahoma"/>
            <family val="2"/>
          </rPr>
          <t>Please select the result of the examination from the drop-down list.</t>
        </r>
      </text>
    </comment>
    <comment ref="B2017" authorId="1">
      <text>
        <r>
          <rPr>
            <b/>
            <sz val="8"/>
            <color indexed="81"/>
            <rFont val="Tahoma"/>
            <family val="2"/>
          </rPr>
          <t xml:space="preserve">
If you have not yet been successful in a vocational graded examination, then leave this section blank.</t>
        </r>
      </text>
    </comment>
    <comment ref="B2018" authorId="2">
      <text>
        <r>
          <rPr>
            <b/>
            <sz val="8"/>
            <color indexed="81"/>
            <rFont val="Tahoma"/>
            <family val="2"/>
          </rPr>
          <t>Please select from the drop-down list.
If 'other' is selected, please give details of awarding body.</t>
        </r>
      </text>
    </comment>
    <comment ref="B201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019" authorId="2">
      <text>
        <r>
          <rPr>
            <b/>
            <sz val="8"/>
            <color indexed="81"/>
            <rFont val="Tahoma"/>
            <family val="2"/>
          </rPr>
          <t>Please select the result of the examination from the drop-down list.</t>
        </r>
      </text>
    </comment>
    <comment ref="B202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02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202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2038" authorId="0">
      <text>
        <r>
          <rPr>
            <b/>
            <sz val="9"/>
            <color indexed="81"/>
            <rFont val="Arial"/>
            <family val="2"/>
          </rPr>
          <t xml:space="preserve">
Instructions on completing the respective field.</t>
        </r>
        <r>
          <rPr>
            <sz val="9"/>
            <color indexed="81"/>
            <rFont val="Arial"/>
            <family val="2"/>
          </rPr>
          <t xml:space="preserve">
</t>
        </r>
      </text>
    </comment>
    <comment ref="B2041" authorId="1">
      <text>
        <r>
          <rPr>
            <b/>
            <sz val="8"/>
            <color indexed="81"/>
            <rFont val="Tahoma"/>
            <family val="2"/>
          </rPr>
          <t>The Candidate ID is the permanent number that has been assigned to the Candidate by the RAD.</t>
        </r>
      </text>
    </comment>
    <comment ref="H2041" authorId="1">
      <text>
        <r>
          <rPr>
            <b/>
            <sz val="8"/>
            <color indexed="81"/>
            <rFont val="Tahoma"/>
            <family val="2"/>
          </rPr>
          <t xml:space="preserve">Please select from the drop-down list on the Teacher Summary Sheet.
</t>
        </r>
      </text>
    </comment>
    <comment ref="K2041" authorId="1">
      <text>
        <r>
          <rPr>
            <b/>
            <sz val="8"/>
            <color indexed="81"/>
            <rFont val="Tahoma"/>
            <family val="2"/>
          </rPr>
          <t>This is the venue at which the examination may take place.
Please select the preferred venue from the drop-down list on the Teacher Summary Sheet.</t>
        </r>
      </text>
    </comment>
    <comment ref="B204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2042"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2046"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2047" authorId="2">
      <text>
        <r>
          <rPr>
            <b/>
            <sz val="8"/>
            <color indexed="81"/>
            <rFont val="Tahoma"/>
            <family val="2"/>
          </rPr>
          <t>On the Teacher Summary Sheet, please select whether the candidate is Male or Female as they are examined separately.</t>
        </r>
      </text>
    </comment>
    <comment ref="F2047"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2047"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2048"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2050" authorId="2">
      <text>
        <r>
          <rPr>
            <b/>
            <sz val="8"/>
            <color indexed="81"/>
            <rFont val="Tahoma"/>
            <family val="2"/>
          </rPr>
          <t>Please select from the drop-down list.
If 'other' is selected, please give details of awarding body.</t>
        </r>
      </text>
    </comment>
    <comment ref="B2051"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051" authorId="2">
      <text>
        <r>
          <rPr>
            <b/>
            <sz val="8"/>
            <color indexed="81"/>
            <rFont val="Tahoma"/>
            <family val="2"/>
          </rPr>
          <t>Please select the result of the examination from the drop-down list.</t>
        </r>
      </text>
    </comment>
    <comment ref="B2052" authorId="1">
      <text>
        <r>
          <rPr>
            <b/>
            <sz val="8"/>
            <color indexed="81"/>
            <rFont val="Tahoma"/>
            <family val="2"/>
          </rPr>
          <t xml:space="preserve">
If you have not yet been successful in a vocational graded examination, then leave this section blank.</t>
        </r>
      </text>
    </comment>
    <comment ref="B2053" authorId="2">
      <text>
        <r>
          <rPr>
            <b/>
            <sz val="8"/>
            <color indexed="81"/>
            <rFont val="Tahoma"/>
            <family val="2"/>
          </rPr>
          <t>Please select from the drop-down list.
If 'other' is selected, please give details of awarding body.</t>
        </r>
      </text>
    </comment>
    <comment ref="B2054"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054" authorId="2">
      <text>
        <r>
          <rPr>
            <b/>
            <sz val="8"/>
            <color indexed="81"/>
            <rFont val="Tahoma"/>
            <family val="2"/>
          </rPr>
          <t>Please select the result of the examination from the drop-down list.</t>
        </r>
      </text>
    </comment>
    <comment ref="B2055"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059"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2063"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 ref="B2073" authorId="0">
      <text>
        <r>
          <rPr>
            <b/>
            <sz val="9"/>
            <color indexed="81"/>
            <rFont val="Arial"/>
            <family val="2"/>
          </rPr>
          <t xml:space="preserve">
Instructions on completing the respective field.</t>
        </r>
        <r>
          <rPr>
            <sz val="9"/>
            <color indexed="81"/>
            <rFont val="Arial"/>
            <family val="2"/>
          </rPr>
          <t xml:space="preserve">
</t>
        </r>
      </text>
    </comment>
    <comment ref="B2076" authorId="1">
      <text>
        <r>
          <rPr>
            <b/>
            <sz val="8"/>
            <color indexed="81"/>
            <rFont val="Tahoma"/>
            <family val="2"/>
          </rPr>
          <t>The Candidate ID is the permanent number that has been assigned to the Candidate by the RAD.</t>
        </r>
      </text>
    </comment>
    <comment ref="H2076" authorId="1">
      <text>
        <r>
          <rPr>
            <b/>
            <sz val="8"/>
            <color indexed="81"/>
            <rFont val="Tahoma"/>
            <family val="2"/>
          </rPr>
          <t xml:space="preserve">Please select from the drop-down list on the Teacher Summary Sheet.
</t>
        </r>
      </text>
    </comment>
    <comment ref="K2076" authorId="1">
      <text>
        <r>
          <rPr>
            <b/>
            <sz val="8"/>
            <color indexed="81"/>
            <rFont val="Tahoma"/>
            <family val="2"/>
          </rPr>
          <t>This is the venue at which the examination may take place.
Please select the preferred venue from the drop-down list on the Teacher Summary Sheet.</t>
        </r>
      </text>
    </comment>
    <comment ref="B207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J2077" authorId="1">
      <text>
        <r>
          <rPr>
            <b/>
            <sz val="8"/>
            <color indexed="81"/>
            <rFont val="Tahoma"/>
            <family val="2"/>
          </rPr>
          <t>Certificates are prepared from the names given on the Entry Form. 
However, if the Candidate has been previously entered for an examination, the name which had initially been entered into our database supersedes the spelling on any subsequent entries.  
If a correction is required, please submit official notification in writing, by email or fax.</t>
        </r>
      </text>
    </comment>
    <comment ref="B2081" authorId="2">
      <text>
        <r>
          <rPr>
            <b/>
            <sz val="8"/>
            <color indexed="81"/>
            <rFont val="Tahoma"/>
            <family val="2"/>
          </rPr>
          <t xml:space="preserve">This is to be completed for all candidates and should comply with the age requirements published in the </t>
        </r>
        <r>
          <rPr>
            <b/>
            <i/>
            <sz val="8"/>
            <color indexed="81"/>
            <rFont val="Tahoma"/>
            <family val="2"/>
          </rPr>
          <t>Handbook</t>
        </r>
        <r>
          <rPr>
            <b/>
            <sz val="8"/>
            <color indexed="81"/>
            <rFont val="Tahoma"/>
            <family val="2"/>
          </rPr>
          <t xml:space="preserve"> and/or</t>
        </r>
        <r>
          <rPr>
            <b/>
            <i/>
            <sz val="8"/>
            <color indexed="81"/>
            <rFont val="Tahoma"/>
            <family val="2"/>
          </rPr>
          <t xml:space="preserve"> Specifications for Vocational Graded and Solo Seal Examinations.</t>
        </r>
      </text>
    </comment>
    <comment ref="B2082" authorId="2">
      <text>
        <r>
          <rPr>
            <b/>
            <sz val="8"/>
            <color indexed="81"/>
            <rFont val="Tahoma"/>
            <family val="2"/>
          </rPr>
          <t>On the Teacher Summary Sheet, please select whether the candidate is Male or Female as they are examined separately.</t>
        </r>
      </text>
    </comment>
    <comment ref="F2082" authorId="2">
      <text>
        <r>
          <rPr>
            <b/>
            <sz val="8"/>
            <color indexed="81"/>
            <rFont val="Tahoma"/>
            <family val="2"/>
          </rPr>
          <t xml:space="preserve">
This information is used when grouping candidates in Sets for the examination. Candidates of similar height are grouped together in ascending order. 
Select the height in centimetres from the drop-down conversion table provided. Please ensure the stated height is accurate.</t>
        </r>
        <r>
          <rPr>
            <sz val="8"/>
            <color indexed="81"/>
            <rFont val="Tahoma"/>
            <family val="2"/>
          </rPr>
          <t xml:space="preserve">
</t>
        </r>
      </text>
    </comment>
    <comment ref="K2082" authorId="2">
      <text>
        <r>
          <rPr>
            <b/>
            <sz val="8"/>
            <color indexed="81"/>
            <rFont val="Tahoma"/>
            <family val="2"/>
          </rPr>
          <t xml:space="preserve">Please select 'Yes' from the drop-down list if the candidate has a permanent/temporary, disability/condition.  If you're uncertain about this, please call the VG Exams Dept. for clarification.
You will also need to complete a Reasonable Adjustment form, available from the VG Exams Dept. or on </t>
        </r>
        <r>
          <rPr>
            <b/>
            <u/>
            <sz val="8"/>
            <color indexed="48"/>
            <rFont val="Tahoma"/>
            <family val="2"/>
          </rPr>
          <t>www.radcanada.org</t>
        </r>
        <r>
          <rPr>
            <b/>
            <sz val="8"/>
            <color indexed="81"/>
            <rFont val="Tahoma"/>
            <family val="2"/>
          </rPr>
          <t xml:space="preserve"> and submit with medical verification by the closing date.</t>
        </r>
      </text>
    </comment>
    <comment ref="B2083" authorId="2">
      <text>
        <r>
          <rPr>
            <b/>
            <sz val="8"/>
            <color indexed="81"/>
            <rFont val="Tahoma"/>
            <family val="2"/>
          </rPr>
          <t>If this is the Candidate's first vocational graded examination, then leave this section blank. Otherwise, complete the applicable sections below. 
If the previous examination was with another awarding body, you will need to forward a photocopy of the Certificate to the RAD/Canada Office.</t>
        </r>
      </text>
    </comment>
    <comment ref="B2085" authorId="2">
      <text>
        <r>
          <rPr>
            <b/>
            <sz val="8"/>
            <color indexed="81"/>
            <rFont val="Tahoma"/>
            <family val="2"/>
          </rPr>
          <t>Please select from the drop-down list.
If 'other' is selected, please give details of awarding body.</t>
        </r>
      </text>
    </comment>
    <comment ref="B2086"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086" authorId="2">
      <text>
        <r>
          <rPr>
            <b/>
            <sz val="8"/>
            <color indexed="81"/>
            <rFont val="Tahoma"/>
            <family val="2"/>
          </rPr>
          <t>Please select the result of the examination from the drop-down list.</t>
        </r>
      </text>
    </comment>
    <comment ref="B2087" authorId="1">
      <text>
        <r>
          <rPr>
            <b/>
            <sz val="8"/>
            <color indexed="81"/>
            <rFont val="Tahoma"/>
            <family val="2"/>
          </rPr>
          <t xml:space="preserve">
If you have not yet been successful in a vocational graded examination, then leave this section blank.</t>
        </r>
      </text>
    </comment>
    <comment ref="B2088" authorId="2">
      <text>
        <r>
          <rPr>
            <b/>
            <sz val="8"/>
            <color indexed="81"/>
            <rFont val="Tahoma"/>
            <family val="2"/>
          </rPr>
          <t>Please select from the drop-down list.
If 'other' is selected, please give details of awarding body.</t>
        </r>
      </text>
    </comment>
    <comment ref="B2089" authorId="2">
      <text>
        <r>
          <rPr>
            <b/>
            <sz val="8"/>
            <color indexed="81"/>
            <rFont val="Tahoma"/>
            <family val="2"/>
          </rPr>
          <t>Please select from the drop-down list.
The following codes have been used -
IF - Intermediate Foundation
I - Intermediate
AF - Advanced Foundation
A1 - Advanced 1
A2 - Advanced 2
SS - Solo Seal Award</t>
        </r>
      </text>
    </comment>
    <comment ref="E2089" authorId="2">
      <text>
        <r>
          <rPr>
            <b/>
            <sz val="8"/>
            <color indexed="81"/>
            <rFont val="Tahoma"/>
            <family val="2"/>
          </rPr>
          <t>Please select the result of the examination from the drop-down list.</t>
        </r>
      </text>
    </comment>
    <comment ref="B2090" authorId="2">
      <text>
        <r>
          <rPr>
            <b/>
            <sz val="8"/>
            <color indexed="81"/>
            <rFont val="Tahoma"/>
            <family val="2"/>
          </rPr>
          <t>Examiner Conflict of Interest
Candidates who have been taught by RAD Vocational Grades examiner(s) either in private lessons or coaching sessions 12 months prior to the examination session being entered, must state the name of the examiner(s) concerned, together with the dates of the lessons or coaching received.
Candidates who are personally known to examiners must indicate the examiner's name on this section of the form. It is the teacher's responsibility to provide accurate details for the candidate being entered.</t>
        </r>
        <r>
          <rPr>
            <sz val="8"/>
            <color indexed="81"/>
            <rFont val="Tahoma"/>
            <family val="2"/>
          </rPr>
          <t xml:space="preserve">
</t>
        </r>
      </text>
    </comment>
    <comment ref="B2094" authorId="2">
      <text>
        <r>
          <rPr>
            <b/>
            <sz val="8"/>
            <color indexed="81"/>
            <rFont val="Tahoma"/>
            <family val="2"/>
          </rPr>
          <t>Please indicate the dates on which it is not possible for this candidate to attend an examination. 
The number of unavailable or impossible dates should be kept to a minimum as the Academy cannot guarantee that these preferences can always be met.</t>
        </r>
      </text>
    </comment>
    <comment ref="C2098" authorId="1">
      <text>
        <r>
          <rPr>
            <b/>
            <sz val="8"/>
            <color indexed="81"/>
            <rFont val="Tahoma"/>
            <family val="2"/>
          </rPr>
          <t xml:space="preserve">
From time to time, the Academy sends information that would benefit Vocational Graded examination Candidates.</t>
        </r>
        <r>
          <rPr>
            <sz val="8"/>
            <color indexed="81"/>
            <rFont val="Tahoma"/>
            <family val="2"/>
          </rPr>
          <t xml:space="preserve">
</t>
        </r>
      </text>
    </comment>
  </commentList>
</comments>
</file>

<file path=xl/sharedStrings.xml><?xml version="1.0" encoding="utf-8"?>
<sst xmlns="http://schemas.openxmlformats.org/spreadsheetml/2006/main" count="3714" uniqueCount="340">
  <si>
    <t>Year</t>
    <phoneticPr fontId="6" type="noConversion"/>
  </si>
  <si>
    <t>MAURITIUS &amp; ALL OTHER AFRICAN COUNTRIES</t>
  </si>
  <si>
    <t>ZIMBABWE</t>
  </si>
  <si>
    <t>Sub-total of fees in EC$</t>
  </si>
  <si>
    <t>182 cm (5 ft 11.5 in)</t>
  </si>
  <si>
    <t xml:space="preserve"> Instructions (the red flag)</t>
    <phoneticPr fontId="6" type="noConversion"/>
  </si>
  <si>
    <t>Receipt Number</t>
  </si>
  <si>
    <t>11</t>
    <phoneticPr fontId="6" type="noConversion"/>
  </si>
  <si>
    <t xml:space="preserve"> Instructions (the red flag)</t>
  </si>
  <si>
    <t>162 cm (5 ft 4 in)</t>
  </si>
  <si>
    <t>Dates To Avoid / Impossible Dates</t>
  </si>
  <si>
    <t>Province</t>
    <phoneticPr fontId="6" type="noConversion"/>
  </si>
  <si>
    <t>Sub-total of fees in B$</t>
  </si>
  <si>
    <t>Standard Not Attained</t>
  </si>
  <si>
    <t>156 cm (5 ft 1.5 in)</t>
  </si>
  <si>
    <t>158 cm (5 ft 2 in)</t>
  </si>
  <si>
    <t>160 cm (5 ft 3 in)</t>
  </si>
  <si>
    <t>Awarding Bodies</t>
  </si>
  <si>
    <t>Classifications</t>
  </si>
  <si>
    <t>Venue</t>
  </si>
  <si>
    <t>Sub-total of fees in C$</t>
  </si>
  <si>
    <t>Sub-total of fees in M$</t>
  </si>
  <si>
    <t>Credit Card</t>
    <phoneticPr fontId="6" type="noConversion"/>
  </si>
  <si>
    <t>Expiry Year</t>
    <phoneticPr fontId="6" type="noConversion"/>
  </si>
  <si>
    <t>Minimum Age Calculatioin</t>
    <phoneticPr fontId="6" type="noConversion"/>
  </si>
  <si>
    <t>Exam</t>
    <phoneticPr fontId="6" type="noConversion"/>
  </si>
  <si>
    <t>IF</t>
    <phoneticPr fontId="6" type="noConversion"/>
  </si>
  <si>
    <t>I</t>
    <phoneticPr fontId="6" type="noConversion"/>
  </si>
  <si>
    <t>AF</t>
    <phoneticPr fontId="6" type="noConversion"/>
  </si>
  <si>
    <t>A1</t>
    <phoneticPr fontId="6" type="noConversion"/>
  </si>
  <si>
    <t>A2</t>
    <phoneticPr fontId="6" type="noConversion"/>
  </si>
  <si>
    <t>SS</t>
    <phoneticPr fontId="6" type="noConversion"/>
  </si>
  <si>
    <r>
      <t xml:space="preserve">The name of the Principal and/or Teacher (1) (if different) should be inserted below as the persons agreeing to the conditions of entry as set out in the </t>
    </r>
    <r>
      <rPr>
        <i/>
        <sz val="8"/>
        <rFont val="Arial"/>
        <family val="2"/>
      </rPr>
      <t>Examination Information and Rules and Regulations</t>
    </r>
    <r>
      <rPr>
        <sz val="8"/>
        <rFont val="Arial"/>
        <family val="2"/>
      </rPr>
      <t>.</t>
    </r>
  </si>
  <si>
    <t xml:space="preserve"> Completion instructions</t>
    <phoneticPr fontId="6" type="noConversion"/>
  </si>
  <si>
    <t>JAMAICA</t>
  </si>
  <si>
    <t>J$</t>
  </si>
  <si>
    <t>NS</t>
    <phoneticPr fontId="6" type="noConversion"/>
  </si>
  <si>
    <t>ON</t>
    <phoneticPr fontId="6" type="noConversion"/>
  </si>
  <si>
    <t>PE</t>
    <phoneticPr fontId="6" type="noConversion"/>
  </si>
  <si>
    <t>PQ</t>
    <phoneticPr fontId="6" type="noConversion"/>
  </si>
  <si>
    <t>SK</t>
    <phoneticPr fontId="6" type="noConversion"/>
  </si>
  <si>
    <t>Part E - Terms and Conditions of Entry</t>
  </si>
  <si>
    <t>Membership ID</t>
  </si>
  <si>
    <t>First Name</t>
  </si>
  <si>
    <t>138 cm (4 ft 6 in)</t>
  </si>
  <si>
    <t>Dec</t>
  </si>
  <si>
    <t>REALE</t>
  </si>
  <si>
    <t>CANADA</t>
  </si>
  <si>
    <t>C$</t>
  </si>
  <si>
    <t>MEXICO</t>
  </si>
  <si>
    <t>Venue options</t>
  </si>
  <si>
    <t>168 cm (5 ft 6 in)</t>
  </si>
  <si>
    <t>of</t>
  </si>
  <si>
    <t>170 cm (5 ft 7 in)</t>
  </si>
  <si>
    <t>172 cm (5 ft 7.5 in)</t>
  </si>
  <si>
    <t>174 cm (5 ft 8 in)</t>
  </si>
  <si>
    <t>176 cm (5 ft 9 in)</t>
  </si>
  <si>
    <t>178 cm (5 ft 10 in)</t>
  </si>
  <si>
    <t>180 cm (5 ft 11 in)</t>
  </si>
  <si>
    <t>154 cm (5 ft 1 in)</t>
  </si>
  <si>
    <t xml:space="preserve"> Candidate Non-Members</t>
  </si>
  <si>
    <t>Nov</t>
  </si>
  <si>
    <t>Name of contact</t>
  </si>
  <si>
    <t>Total of fees in B$</t>
  </si>
  <si>
    <t>Total of fees in J$</t>
  </si>
  <si>
    <t>Preferred Examination Venue</t>
  </si>
  <si>
    <t>Preferred Examination Venue ID</t>
  </si>
  <si>
    <t>Total of fees in EC$</t>
  </si>
  <si>
    <t>Title options</t>
  </si>
  <si>
    <t>Ms</t>
  </si>
  <si>
    <t>Mrs.</t>
  </si>
  <si>
    <t>Dr.</t>
  </si>
  <si>
    <t>The Candidate Personal Details Form</t>
    <phoneticPr fontId="6" type="noConversion"/>
  </si>
  <si>
    <t>Jan</t>
    <phoneticPr fontId="6" type="noConversion"/>
  </si>
  <si>
    <t>Aug</t>
    <phoneticPr fontId="6" type="noConversion"/>
  </si>
  <si>
    <t xml:space="preserve"> Please complete</t>
  </si>
  <si>
    <t>Address for correspondence</t>
  </si>
  <si>
    <t>184 cm (6 ft)</t>
  </si>
  <si>
    <t>186 cm (6 ft 1 in)</t>
    <phoneticPr fontId="6" type="noConversion"/>
  </si>
  <si>
    <t>188 cm (6 ft 2 in)</t>
    <phoneticPr fontId="6" type="noConversion"/>
  </si>
  <si>
    <t>190 cm (6 ft 3 in)</t>
    <phoneticPr fontId="6" type="noConversion"/>
  </si>
  <si>
    <t>192 cm (6 ft 4 in)</t>
    <phoneticPr fontId="6" type="noConversion"/>
  </si>
  <si>
    <t>194 cm (6 ft 4.5 in)</t>
    <phoneticPr fontId="6" type="noConversion"/>
  </si>
  <si>
    <t>196 cm (6 ft 5 in)</t>
    <phoneticPr fontId="6" type="noConversion"/>
  </si>
  <si>
    <t>Yes</t>
  </si>
  <si>
    <t>Sheet</t>
    <phoneticPr fontId="6" type="noConversion"/>
  </si>
  <si>
    <t>Age</t>
    <phoneticPr fontId="6" type="noConversion"/>
  </si>
  <si>
    <t>BTDA</t>
  </si>
  <si>
    <t>Pass</t>
  </si>
  <si>
    <t>Feb</t>
  </si>
  <si>
    <t>DIRHAM</t>
  </si>
  <si>
    <t>SOUTH AFRICA INC. VAT</t>
  </si>
  <si>
    <t>RAND</t>
  </si>
  <si>
    <t>Date Finalized</t>
  </si>
  <si>
    <t>Candidate level</t>
  </si>
  <si>
    <t>Advanced Foundation</t>
  </si>
  <si>
    <t>Advanced 1</t>
  </si>
  <si>
    <t>Mr.</t>
  </si>
  <si>
    <t>Miss</t>
  </si>
  <si>
    <t>Sub-total Number of Candidates (Members)</t>
  </si>
  <si>
    <t>AB</t>
    <phoneticPr fontId="6" type="noConversion"/>
  </si>
  <si>
    <t>BC</t>
    <phoneticPr fontId="6" type="noConversion"/>
  </si>
  <si>
    <t>MB</t>
    <phoneticPr fontId="6" type="noConversion"/>
  </si>
  <si>
    <t>NB</t>
    <phoneticPr fontId="6" type="noConversion"/>
  </si>
  <si>
    <t>NL</t>
    <phoneticPr fontId="6" type="noConversion"/>
  </si>
  <si>
    <t>Sub-total Number of Candidates (Non-members)</t>
  </si>
  <si>
    <t>Edmonton</t>
  </si>
  <si>
    <t>Jul</t>
  </si>
  <si>
    <t>TT$</t>
  </si>
  <si>
    <t>BRASIL</t>
  </si>
  <si>
    <t>06</t>
    <phoneticPr fontId="6" type="noConversion"/>
  </si>
  <si>
    <t>07</t>
    <phoneticPr fontId="6" type="noConversion"/>
  </si>
  <si>
    <t>09</t>
    <phoneticPr fontId="6" type="noConversion"/>
  </si>
  <si>
    <t>10</t>
    <phoneticPr fontId="6" type="noConversion"/>
  </si>
  <si>
    <t>12</t>
    <phoneticPr fontId="6" type="noConversion"/>
  </si>
  <si>
    <t>08</t>
    <phoneticPr fontId="6" type="noConversion"/>
  </si>
  <si>
    <t>If unsuccessful, please give details of last successful vocational graded examination taken</t>
  </si>
  <si>
    <t>Teacher 1, First Name</t>
  </si>
  <si>
    <t>Member ID</t>
  </si>
  <si>
    <t>Exam Level</t>
  </si>
  <si>
    <t>Home Address</t>
  </si>
  <si>
    <t>City</t>
  </si>
  <si>
    <t>Oct</t>
  </si>
  <si>
    <t>136 cm (4 ft 5.5 in)</t>
  </si>
  <si>
    <t>Last Name</t>
  </si>
  <si>
    <t>M$</t>
  </si>
  <si>
    <t>Examiner Conflict of Interest</t>
  </si>
  <si>
    <t>Identify any examiners who have coached the candidate in the last 12 months or are known personally</t>
  </si>
  <si>
    <t xml:space="preserve"> Automatic completion</t>
    <phoneticPr fontId="30" type="noConversion"/>
  </si>
  <si>
    <t>May</t>
  </si>
  <si>
    <t>134 cm (4 ft 5 in)</t>
  </si>
  <si>
    <t xml:space="preserve">     Address line 2</t>
  </si>
  <si>
    <t>ext</t>
  </si>
  <si>
    <t xml:space="preserve">     Phone</t>
  </si>
  <si>
    <t xml:space="preserve">     Email</t>
  </si>
  <si>
    <t>Mar</t>
  </si>
  <si>
    <t>122 cm (4 ft)</t>
  </si>
  <si>
    <t>IDTA</t>
  </si>
  <si>
    <t>Month</t>
  </si>
  <si>
    <t>Year</t>
  </si>
  <si>
    <t>Candidate Personal Details Form</t>
    <phoneticPr fontId="6" type="noConversion"/>
  </si>
  <si>
    <t xml:space="preserve"> Completion instructions</t>
    <phoneticPr fontId="6" type="noConversion"/>
  </si>
  <si>
    <t xml:space="preserve"> Completion instructions</t>
    <phoneticPr fontId="6" type="noConversion"/>
  </si>
  <si>
    <t>Sub-total of fees in US$</t>
  </si>
  <si>
    <t>Height</t>
  </si>
  <si>
    <t>Yes/No</t>
  </si>
  <si>
    <t>Candidate Age</t>
    <phoneticPr fontId="6" type="noConversion"/>
  </si>
  <si>
    <t>BBO</t>
  </si>
  <si>
    <t>126 cm (4 ft 2 in)</t>
  </si>
  <si>
    <t>Jun</t>
  </si>
  <si>
    <t>128 cm (4 ft 2.5 in)</t>
  </si>
  <si>
    <t xml:space="preserve">     Fax</t>
  </si>
  <si>
    <t>Part A - School Information</t>
  </si>
  <si>
    <t>Level</t>
  </si>
  <si>
    <t>Continuation</t>
  </si>
  <si>
    <t>Emergency Contact No.</t>
  </si>
  <si>
    <t>Summary Sheet</t>
  </si>
  <si>
    <t>Summary Sheet</t>
    <phoneticPr fontId="6" type="noConversion"/>
  </si>
  <si>
    <t>Visa</t>
    <phoneticPr fontId="6" type="noConversion"/>
  </si>
  <si>
    <t>M/C</t>
    <phoneticPr fontId="6" type="noConversion"/>
  </si>
  <si>
    <t>Amex</t>
    <phoneticPr fontId="6" type="noConversion"/>
  </si>
  <si>
    <t>148 cm (4 ft 10 in)</t>
  </si>
  <si>
    <t>150 cm (4 ft 11 in)</t>
  </si>
  <si>
    <t>152 cm (5 ft)</t>
  </si>
  <si>
    <t xml:space="preserve"> Candidate Members</t>
  </si>
  <si>
    <t>Part B - Examination Venue Information</t>
  </si>
  <si>
    <t xml:space="preserve">   (if different from Part A)</t>
  </si>
  <si>
    <t>198 cm (6 ft 6 in)</t>
    <phoneticPr fontId="6" type="noConversion"/>
  </si>
  <si>
    <t>BAHAMAS BERMUDA &amp; USA</t>
  </si>
  <si>
    <t>ISRAEL</t>
  </si>
  <si>
    <t>SHEKEL</t>
  </si>
  <si>
    <t>Candidate's Last Name</t>
  </si>
  <si>
    <t>Candidate Personal Details Form</t>
    <phoneticPr fontId="6" type="noConversion"/>
  </si>
  <si>
    <t>164 cm (5 ft 4.5 in)</t>
  </si>
  <si>
    <t xml:space="preserve">Teacher Summary Sheet </t>
    <phoneticPr fontId="6" type="noConversion"/>
  </si>
  <si>
    <t>must also be completed for each candidate entered</t>
    <phoneticPr fontId="6" type="noConversion"/>
  </si>
  <si>
    <t>Continuation</t>
    <phoneticPr fontId="6" type="noConversion"/>
  </si>
  <si>
    <t xml:space="preserve">     City</t>
  </si>
  <si>
    <t xml:space="preserve">     Province</t>
  </si>
  <si>
    <t>Examination Venue</t>
    <phoneticPr fontId="30" type="noConversion"/>
  </si>
  <si>
    <t>For Office Use</t>
  </si>
  <si>
    <t>Specified Age</t>
    <phoneticPr fontId="6" type="noConversion"/>
  </si>
  <si>
    <t xml:space="preserve"> Completes automatically</t>
    <phoneticPr fontId="30" type="noConversion"/>
  </si>
  <si>
    <t>Other</t>
  </si>
  <si>
    <t>Candidate Personal Details Form</t>
    <phoneticPr fontId="6" type="noConversion"/>
  </si>
  <si>
    <t>Apr</t>
  </si>
  <si>
    <t>140 cm (4 ft 7 in)</t>
  </si>
  <si>
    <t>142 cm (4 ft 8 in)</t>
  </si>
  <si>
    <t>Emergency Contact No.</t>
    <phoneticPr fontId="6" type="noConversion"/>
  </si>
  <si>
    <t>Advanced 2</t>
  </si>
  <si>
    <t>Solo Seal Award</t>
  </si>
  <si>
    <t>166 cm (5 ft 5 in)</t>
  </si>
  <si>
    <t>UAE</t>
  </si>
  <si>
    <t xml:space="preserve"> Completion instructions</t>
    <phoneticPr fontId="6" type="noConversion"/>
  </si>
  <si>
    <t>Jul</t>
    <phoneticPr fontId="6" type="noConversion"/>
  </si>
  <si>
    <t>Sub-total Currency display matrix</t>
  </si>
  <si>
    <t>Address line 2</t>
  </si>
  <si>
    <t>Prov</t>
  </si>
  <si>
    <t>Phone</t>
  </si>
  <si>
    <t>Email</t>
  </si>
  <si>
    <t xml:space="preserve"> Completion instructions</t>
    <phoneticPr fontId="6" type="noConversion"/>
  </si>
  <si>
    <t>Candidate Personal Details Form</t>
    <phoneticPr fontId="6" type="noConversion"/>
  </si>
  <si>
    <t>Total of fees in TT$</t>
  </si>
  <si>
    <t>Level Codes</t>
  </si>
  <si>
    <t>US$</t>
  </si>
  <si>
    <t>Entry number</t>
    <phoneticPr fontId="6" type="noConversion"/>
  </si>
  <si>
    <t>Entry number</t>
    <phoneticPr fontId="6" type="noConversion"/>
  </si>
  <si>
    <t>Entry number</t>
    <phoneticPr fontId="6" type="noConversion"/>
  </si>
  <si>
    <t>Total of fees in US$</t>
  </si>
  <si>
    <t>Total of fees in SHEKEL</t>
  </si>
  <si>
    <t>Total of fees in DIRHAM</t>
  </si>
  <si>
    <t>Total of fees in RAND</t>
  </si>
  <si>
    <t>Postal Code</t>
  </si>
  <si>
    <t>SS</t>
  </si>
  <si>
    <t>Gender</t>
  </si>
  <si>
    <t>M</t>
  </si>
  <si>
    <t>F</t>
  </si>
  <si>
    <t>Name</t>
  </si>
  <si>
    <t>Date</t>
  </si>
  <si>
    <t>CURRENCY CALCULATION NUMBER</t>
  </si>
  <si>
    <t>COUNTRY</t>
  </si>
  <si>
    <t>Exam Code</t>
  </si>
  <si>
    <t>Charity Registered in England No 312826</t>
  </si>
  <si>
    <t>Name of Principal</t>
  </si>
  <si>
    <t>Title</t>
  </si>
  <si>
    <t>Total of fees in C$</t>
    <phoneticPr fontId="6" type="noConversion"/>
  </si>
  <si>
    <t>For Office Use Only</t>
  </si>
  <si>
    <t>Date of Birth</t>
  </si>
  <si>
    <t>Age</t>
  </si>
  <si>
    <t>Contact for correspondence (if different from Part A)</t>
  </si>
  <si>
    <t>Sub-total of fees in TT$</t>
  </si>
  <si>
    <t>Sub-total of fees in REALE</t>
  </si>
  <si>
    <t>Jan</t>
  </si>
  <si>
    <t>Candidate Personal Details Form</t>
    <phoneticPr fontId="6" type="noConversion"/>
  </si>
  <si>
    <t>but candidates must be prepared to travel to another Venue.</t>
  </si>
  <si>
    <t>Entry number</t>
    <phoneticPr fontId="6" type="noConversion"/>
  </si>
  <si>
    <t>Teacher 1</t>
  </si>
  <si>
    <t>Teacher 2</t>
  </si>
  <si>
    <t>Teacher 3</t>
  </si>
  <si>
    <t>Teacher 4</t>
  </si>
  <si>
    <t>Candidate ID</t>
  </si>
  <si>
    <t>Candidate's First Name</t>
  </si>
  <si>
    <t>Fees</t>
  </si>
  <si>
    <t>118 cm (3 ft 10 in)</t>
  </si>
  <si>
    <t>Total Number of Candidates</t>
  </si>
  <si>
    <t>IF</t>
  </si>
  <si>
    <t>I</t>
  </si>
  <si>
    <t>AF</t>
  </si>
  <si>
    <t>A1</t>
  </si>
  <si>
    <t>A2</t>
  </si>
  <si>
    <t>01</t>
    <phoneticPr fontId="6" type="noConversion"/>
  </si>
  <si>
    <t>02</t>
    <phoneticPr fontId="6" type="noConversion"/>
  </si>
  <si>
    <t>03</t>
    <phoneticPr fontId="6" type="noConversion"/>
  </si>
  <si>
    <t>04</t>
    <phoneticPr fontId="6" type="noConversion"/>
  </si>
  <si>
    <t>05</t>
    <phoneticPr fontId="6" type="noConversion"/>
  </si>
  <si>
    <t>RAD</t>
    <phoneticPr fontId="6" type="noConversion"/>
  </si>
  <si>
    <t>Charity Registered in England No. 312826</t>
  </si>
  <si>
    <t>F</t>
    <phoneticPr fontId="6" type="noConversion"/>
  </si>
  <si>
    <t>M</t>
    <phoneticPr fontId="6" type="noConversion"/>
  </si>
  <si>
    <t>Auto Change-Over</t>
    <phoneticPr fontId="6" type="noConversion"/>
  </si>
  <si>
    <t>Guide to completion</t>
  </si>
  <si>
    <t>Total of fees in REALE</t>
  </si>
  <si>
    <t>Total of fees in C$</t>
  </si>
  <si>
    <t>Total of fees in M$</t>
  </si>
  <si>
    <t>Taught by Tchr(s)</t>
  </si>
  <si>
    <t>124 cm (4 ft 1 in)</t>
  </si>
  <si>
    <t>ISTD</t>
  </si>
  <si>
    <t>120 cm (3 ft 11 in)</t>
  </si>
  <si>
    <t>No</t>
  </si>
  <si>
    <t>Too Young?</t>
    <phoneticPr fontId="6" type="noConversion"/>
  </si>
  <si>
    <t>CECC</t>
  </si>
  <si>
    <t>Merit</t>
  </si>
  <si>
    <t>Sub-total of fees in SHEKEL</t>
  </si>
  <si>
    <t>Sub-total of fees in DIRHAM</t>
  </si>
  <si>
    <t>Sub-total of fees in RAND</t>
  </si>
  <si>
    <t xml:space="preserve"> Completion instructions</t>
    <phoneticPr fontId="6" type="noConversion"/>
  </si>
  <si>
    <t>Please note: we will attempt to accommodate all requests,</t>
  </si>
  <si>
    <t xml:space="preserve"> Completion instructions</t>
    <phoneticPr fontId="6" type="noConversion"/>
  </si>
  <si>
    <t>Entry number</t>
    <phoneticPr fontId="6" type="noConversion"/>
  </si>
  <si>
    <t>Month</t>
    <phoneticPr fontId="6" type="noConversion"/>
  </si>
  <si>
    <t>Oct</t>
    <phoneticPr fontId="6" type="noConversion"/>
  </si>
  <si>
    <t>Candidate Personal Details Form</t>
    <phoneticPr fontId="6" type="noConversion"/>
  </si>
  <si>
    <t xml:space="preserve"> Completion instructions</t>
    <phoneticPr fontId="6" type="noConversion"/>
  </si>
  <si>
    <t>Entry number</t>
    <phoneticPr fontId="6" type="noConversion"/>
  </si>
  <si>
    <t>Date</t>
    <phoneticPr fontId="6" type="noConversion"/>
  </si>
  <si>
    <t>Sub-total of fees in J$</t>
  </si>
  <si>
    <t>CURRENCY</t>
  </si>
  <si>
    <t>Intermediate Foundation</t>
  </si>
  <si>
    <t>Intermediate</t>
  </si>
  <si>
    <t>ALL OTHER CENTRAL &amp; SOUTH AMERICA</t>
  </si>
  <si>
    <t>Part D - Candidates Summary and Fees</t>
  </si>
  <si>
    <t>Total Currency display matrix</t>
  </si>
  <si>
    <t xml:space="preserve"> RAD Canada</t>
    <phoneticPr fontId="6" type="noConversion"/>
  </si>
  <si>
    <t xml:space="preserve"> RAD Canada</t>
  </si>
  <si>
    <t>Entry number</t>
    <phoneticPr fontId="6" type="noConversion"/>
  </si>
  <si>
    <t>Candidate Personal Details Form</t>
    <phoneticPr fontId="6" type="noConversion"/>
  </si>
  <si>
    <t>B$</t>
  </si>
  <si>
    <t>Please give details of last vocational graded examination taken</t>
  </si>
  <si>
    <t>Awarding Body</t>
  </si>
  <si>
    <t xml:space="preserve"> If 'Other' please state</t>
  </si>
  <si>
    <t>Exam Date</t>
  </si>
  <si>
    <t>Result</t>
  </si>
  <si>
    <t>Examiner</t>
  </si>
  <si>
    <t>130 cm (4 ft 3 in)</t>
  </si>
  <si>
    <t>Aug</t>
  </si>
  <si>
    <t>144 cm (4 ft 9 in)</t>
  </si>
  <si>
    <t>146 cm (4 ft 9.5 in)</t>
  </si>
  <si>
    <t>Check List</t>
    <phoneticPr fontId="30" type="noConversion"/>
  </si>
  <si>
    <t xml:space="preserve"> Completes automatically</t>
  </si>
  <si>
    <t>Candidate Personal Details Form</t>
    <phoneticPr fontId="6" type="noConversion"/>
  </si>
  <si>
    <t xml:space="preserve"> Completion instructions</t>
    <phoneticPr fontId="6" type="noConversion"/>
  </si>
  <si>
    <t>Administrator</t>
  </si>
  <si>
    <t>ANTIGUA &amp; ST LUCIA</t>
  </si>
  <si>
    <t>EC$</t>
  </si>
  <si>
    <t>BARBADOS</t>
  </si>
  <si>
    <t>TRINIDAD &amp; TOBAGO</t>
  </si>
  <si>
    <t>132 cm (4 ft 4 in)</t>
  </si>
  <si>
    <t>Sep</t>
  </si>
  <si>
    <t>Part C - Registered Teacher Details</t>
  </si>
  <si>
    <t>Height in cms</t>
  </si>
  <si>
    <t xml:space="preserve"> Reasonable Adjustment</t>
  </si>
  <si>
    <t>Name of School</t>
  </si>
  <si>
    <t>School ID</t>
  </si>
  <si>
    <t>School Address</t>
  </si>
  <si>
    <t>Distinction</t>
  </si>
  <si>
    <t>1210 Sheppard Ave E, Suite 601</t>
  </si>
  <si>
    <t>Toronto, Ontario  M2K 1E3</t>
  </si>
  <si>
    <t>Correspondence options</t>
  </si>
  <si>
    <r>
      <t xml:space="preserve">Vocational Graded Examination Fees - </t>
    </r>
    <r>
      <rPr>
        <b/>
        <sz val="10"/>
        <color indexed="10"/>
        <rFont val="Arial"/>
        <family val="2"/>
      </rPr>
      <t>Members rates 2016</t>
    </r>
  </si>
  <si>
    <r>
      <t xml:space="preserve">Vocational Graded Examination Fees - </t>
    </r>
    <r>
      <rPr>
        <b/>
        <sz val="10"/>
        <color indexed="10"/>
        <rFont val="Arial"/>
        <family val="2"/>
      </rPr>
      <t>Full rates 2016</t>
    </r>
  </si>
  <si>
    <t>E: cjones@radcanada.org</t>
  </si>
  <si>
    <t>Please give details of Advanced 2 examination results</t>
  </si>
  <si>
    <t xml:space="preserve">Toronto </t>
  </si>
  <si>
    <t>Vancouver</t>
  </si>
  <si>
    <t>Ottawa</t>
  </si>
  <si>
    <t>Toronto</t>
  </si>
  <si>
    <t>Tel: 416.489.2813  ext. 221</t>
  </si>
  <si>
    <t>Toll free: 1.888.709.0895</t>
  </si>
  <si>
    <t>Fax: 416.489.3222</t>
  </si>
  <si>
    <t>Solo Seal Entry Form: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</si>
</sst>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quot;$&quot;#,##0.00"/>
    <numFmt numFmtId="166" formatCode="[$-409]mmmm\-yy;@"/>
    <numFmt numFmtId="167" formatCode="mmm"/>
    <numFmt numFmtId="168" formatCode="d\-mmm\-yyyy"/>
  </numFmts>
  <fonts count="41" x14ac:knownFonts="1">
    <font>
      <sz val="10"/>
      <name val="Arial"/>
    </font>
    <font>
      <sz val="10"/>
      <name val="Arial"/>
      <family val="2"/>
    </font>
    <font>
      <b/>
      <sz val="9"/>
      <name val="Arial"/>
      <family val="2"/>
    </font>
    <font>
      <sz val="14"/>
      <name val="Arial"/>
      <family val="2"/>
    </font>
    <font>
      <b/>
      <sz val="8"/>
      <name val="Arial"/>
      <family val="2"/>
    </font>
    <font>
      <b/>
      <sz val="10"/>
      <name val="Arial"/>
      <family val="2"/>
    </font>
    <font>
      <sz val="8"/>
      <name val="Arial"/>
      <family val="2"/>
    </font>
    <font>
      <sz val="8"/>
      <name val="Arial"/>
      <family val="2"/>
    </font>
    <font>
      <sz val="6"/>
      <color indexed="10"/>
      <name val="Arial"/>
      <family val="2"/>
    </font>
    <font>
      <sz val="8"/>
      <color indexed="81"/>
      <name val="Tahoma"/>
      <family val="2"/>
    </font>
    <font>
      <b/>
      <sz val="8"/>
      <color indexed="81"/>
      <name val="Tahoma"/>
      <family val="2"/>
    </font>
    <font>
      <b/>
      <i/>
      <sz val="8"/>
      <color indexed="81"/>
      <name val="Tahoma"/>
      <family val="2"/>
    </font>
    <font>
      <i/>
      <sz val="8"/>
      <name val="Arial"/>
      <family val="2"/>
    </font>
    <font>
      <b/>
      <sz val="10"/>
      <name val="Arial"/>
      <family val="2"/>
    </font>
    <font>
      <b/>
      <sz val="10"/>
      <color indexed="10"/>
      <name val="Arial"/>
      <family val="2"/>
    </font>
    <font>
      <b/>
      <sz val="8"/>
      <name val="Arial"/>
      <family val="2"/>
    </font>
    <font>
      <u/>
      <sz val="10"/>
      <color indexed="12"/>
      <name val="Arial"/>
      <family val="2"/>
    </font>
    <font>
      <sz val="9"/>
      <name val="Arial"/>
      <family val="2"/>
    </font>
    <font>
      <sz val="8"/>
      <color indexed="22"/>
      <name val="Arial"/>
      <family val="2"/>
    </font>
    <font>
      <b/>
      <u/>
      <sz val="8"/>
      <color indexed="48"/>
      <name val="Tahoma"/>
      <family val="2"/>
    </font>
    <font>
      <sz val="10"/>
      <name val="Arial"/>
      <family val="2"/>
    </font>
    <font>
      <sz val="10"/>
      <name val="Arial"/>
      <family val="2"/>
    </font>
    <font>
      <sz val="12"/>
      <name val="Arial"/>
      <family val="2"/>
    </font>
    <font>
      <b/>
      <sz val="12"/>
      <name val="Arial"/>
      <family val="2"/>
    </font>
    <font>
      <sz val="10"/>
      <name val="Wingdings 3"/>
      <family val="1"/>
      <charset val="2"/>
    </font>
    <font>
      <b/>
      <sz val="18"/>
      <name val="Arial"/>
      <family val="2"/>
    </font>
    <font>
      <sz val="18"/>
      <name val="Arial"/>
      <family val="2"/>
    </font>
    <font>
      <b/>
      <sz val="9"/>
      <color indexed="81"/>
      <name val="Arial"/>
      <family val="2"/>
    </font>
    <font>
      <sz val="9"/>
      <color indexed="81"/>
      <name val="Arial"/>
      <family val="2"/>
    </font>
    <font>
      <b/>
      <sz val="8"/>
      <name val="Arial"/>
      <family val="2"/>
    </font>
    <font>
      <sz val="8"/>
      <name val="Verdana"/>
      <family val="2"/>
    </font>
    <font>
      <b/>
      <sz val="16"/>
      <name val="Arial"/>
      <family val="2"/>
    </font>
    <font>
      <sz val="10"/>
      <color indexed="10"/>
      <name val="Arial"/>
      <family val="2"/>
    </font>
    <font>
      <sz val="12"/>
      <color indexed="10"/>
      <name val="Arial"/>
      <family val="2"/>
    </font>
    <font>
      <b/>
      <sz val="11"/>
      <color indexed="10"/>
      <name val="Wingdings 2"/>
      <family val="1"/>
      <charset val="2"/>
    </font>
    <font>
      <b/>
      <sz val="12"/>
      <color indexed="10"/>
      <name val="Wingdings 2"/>
      <family val="1"/>
      <charset val="2"/>
    </font>
    <font>
      <b/>
      <sz val="18"/>
      <color indexed="10"/>
      <name val="Wingdings 2"/>
      <family val="1"/>
      <charset val="2"/>
    </font>
    <font>
      <sz val="18"/>
      <color indexed="10"/>
      <name val="Wingdings 2"/>
      <family val="1"/>
      <charset val="2"/>
    </font>
    <font>
      <u/>
      <sz val="10"/>
      <color theme="11"/>
      <name val="Arial"/>
      <family val="2"/>
    </font>
    <font>
      <b/>
      <sz val="10"/>
      <name val="Arial"/>
      <family val="2"/>
    </font>
    <font>
      <b/>
      <sz val="9"/>
      <name val="Arial"/>
      <family val="2"/>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2"/>
        <bgColor indexed="64"/>
      </patternFill>
    </fill>
  </fills>
  <borders count="5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right style="thin">
        <color indexed="8"/>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diagonal/>
    </border>
    <border>
      <left/>
      <right style="medium">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s>
  <cellStyleXfs count="8">
    <xf numFmtId="0" fontId="0" fillId="0" borderId="0"/>
    <xf numFmtId="164" fontId="1" fillId="0" borderId="0" applyFont="0" applyFill="0" applyBorder="0" applyAlignment="0" applyProtection="0"/>
    <xf numFmtId="0" fontId="16"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553">
    <xf numFmtId="0" fontId="0" fillId="0" borderId="0" xfId="0"/>
    <xf numFmtId="0" fontId="6" fillId="0" borderId="0" xfId="0" applyFont="1"/>
    <xf numFmtId="0" fontId="6" fillId="0" borderId="0" xfId="0" applyFont="1" applyBorder="1"/>
    <xf numFmtId="0" fontId="4" fillId="0" borderId="1" xfId="0" applyFont="1" applyBorder="1" applyAlignment="1">
      <alignment wrapText="1"/>
    </xf>
    <xf numFmtId="0" fontId="4" fillId="0" borderId="0" xfId="0" applyFont="1" applyAlignment="1">
      <alignment wrapText="1"/>
    </xf>
    <xf numFmtId="0" fontId="6" fillId="0" borderId="0" xfId="0" applyFont="1" applyFill="1" applyBorder="1"/>
    <xf numFmtId="0" fontId="6" fillId="0" borderId="1" xfId="0" applyFont="1" applyBorder="1"/>
    <xf numFmtId="0" fontId="6" fillId="0" borderId="1" xfId="0" applyFont="1" applyFill="1" applyBorder="1"/>
    <xf numFmtId="0" fontId="4" fillId="0" borderId="1" xfId="0" applyFont="1" applyBorder="1" applyAlignment="1">
      <alignment horizontal="left" wrapText="1"/>
    </xf>
    <xf numFmtId="0" fontId="13" fillId="0" borderId="0" xfId="0" applyFont="1"/>
    <xf numFmtId="0" fontId="0" fillId="0" borderId="0" xfId="0" applyBorder="1"/>
    <xf numFmtId="0" fontId="0" fillId="2" borderId="0" xfId="0" applyFill="1"/>
    <xf numFmtId="0" fontId="15" fillId="0" borderId="0" xfId="0" applyFont="1" applyFill="1"/>
    <xf numFmtId="0" fontId="15" fillId="0" borderId="0" xfId="0" applyFont="1"/>
    <xf numFmtId="49" fontId="6" fillId="0" borderId="2" xfId="0" applyNumberFormat="1" applyFont="1" applyBorder="1" applyAlignment="1" applyProtection="1">
      <alignment horizontal="center" vertical="center"/>
    </xf>
    <xf numFmtId="49" fontId="6" fillId="0" borderId="3" xfId="0" applyNumberFormat="1" applyFont="1" applyBorder="1" applyAlignment="1" applyProtection="1">
      <alignment horizontal="left" vertical="center" wrapText="1"/>
    </xf>
    <xf numFmtId="0" fontId="1" fillId="3" borderId="2"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49" fontId="6" fillId="0" borderId="5" xfId="0" quotePrefix="1" applyNumberFormat="1" applyFont="1" applyBorder="1" applyAlignment="1" applyProtection="1">
      <alignment horizontal="center" vertical="center" wrapText="1"/>
    </xf>
    <xf numFmtId="49" fontId="8" fillId="0" borderId="5" xfId="0" quotePrefix="1" applyNumberFormat="1" applyFont="1" applyBorder="1" applyAlignment="1" applyProtection="1">
      <alignment horizontal="left" vertical="center" wrapText="1"/>
    </xf>
    <xf numFmtId="49" fontId="1" fillId="3" borderId="6" xfId="0" applyNumberFormat="1" applyFont="1" applyFill="1" applyBorder="1" applyAlignment="1" applyProtection="1">
      <alignment horizontal="center" vertical="center"/>
      <protection locked="0"/>
    </xf>
    <xf numFmtId="0" fontId="1" fillId="3" borderId="6" xfId="0" applyFont="1" applyFill="1" applyBorder="1" applyAlignment="1" applyProtection="1">
      <alignment vertical="center"/>
      <protection locked="0"/>
    </xf>
    <xf numFmtId="1" fontId="1" fillId="3" borderId="6" xfId="0" applyNumberFormat="1" applyFont="1" applyFill="1" applyBorder="1" applyAlignment="1" applyProtection="1">
      <alignment vertical="center"/>
      <protection locked="0"/>
    </xf>
    <xf numFmtId="49" fontId="1" fillId="3" borderId="7" xfId="0" applyNumberFormat="1" applyFont="1" applyFill="1" applyBorder="1" applyAlignment="1" applyProtection="1">
      <alignment horizontal="center" vertical="center"/>
      <protection locked="0"/>
    </xf>
    <xf numFmtId="0" fontId="1" fillId="3" borderId="7" xfId="0" applyFont="1" applyFill="1" applyBorder="1" applyAlignment="1" applyProtection="1">
      <alignment vertical="center"/>
      <protection locked="0"/>
    </xf>
    <xf numFmtId="1" fontId="1" fillId="3" borderId="7" xfId="0" applyNumberFormat="1" applyFont="1" applyFill="1" applyBorder="1" applyAlignment="1" applyProtection="1">
      <alignment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0" fillId="4" borderId="8" xfId="0" applyNumberFormat="1" applyFont="1" applyFill="1" applyBorder="1" applyAlignment="1" applyProtection="1">
      <alignment horizontal="center" vertical="center"/>
      <protection hidden="1"/>
    </xf>
    <xf numFmtId="0" fontId="6" fillId="0" borderId="9" xfId="0" applyFont="1" applyBorder="1" applyAlignment="1" applyProtection="1">
      <alignment vertical="center"/>
    </xf>
    <xf numFmtId="0" fontId="1" fillId="0" borderId="10" xfId="0" applyFont="1" applyBorder="1" applyAlignment="1" applyProtection="1">
      <alignment vertical="center"/>
    </xf>
    <xf numFmtId="0" fontId="1" fillId="0" borderId="0" xfId="0" applyFont="1" applyAlignment="1" applyProtection="1">
      <alignment horizontal="center" vertical="center"/>
    </xf>
    <xf numFmtId="0" fontId="1" fillId="0" borderId="1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Fill="1" applyAlignment="1" applyProtection="1">
      <alignment vertical="center"/>
    </xf>
    <xf numFmtId="165" fontId="1" fillId="4" borderId="6" xfId="0" quotePrefix="1" applyNumberFormat="1" applyFont="1" applyFill="1" applyBorder="1" applyAlignment="1" applyProtection="1">
      <alignment horizontal="left" vertical="center"/>
      <protection hidden="1"/>
    </xf>
    <xf numFmtId="0" fontId="13" fillId="0" borderId="0" xfId="0" applyFont="1" applyAlignment="1">
      <alignment horizontal="left"/>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6" fillId="0" borderId="11" xfId="0" applyFont="1" applyFill="1" applyBorder="1" applyAlignment="1" applyProtection="1">
      <alignment horizontal="center" wrapText="1"/>
    </xf>
    <xf numFmtId="0" fontId="1" fillId="0" borderId="0" xfId="0" applyFont="1" applyBorder="1" applyAlignment="1" applyProtection="1">
      <alignment horizontal="center" vertical="center"/>
    </xf>
    <xf numFmtId="0" fontId="1" fillId="0" borderId="0" xfId="0" applyFont="1" applyAlignment="1" applyProtection="1">
      <alignment vertical="center"/>
    </xf>
    <xf numFmtId="49" fontId="6" fillId="0" borderId="0" xfId="0" applyNumberFormat="1"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3" xfId="0" applyFont="1" applyBorder="1" applyAlignment="1" applyProtection="1">
      <alignment horizontal="center" vertical="center"/>
    </xf>
    <xf numFmtId="0" fontId="5" fillId="0" borderId="0" xfId="0" applyFont="1"/>
    <xf numFmtId="0" fontId="6" fillId="0" borderId="14" xfId="0" applyFont="1" applyFill="1" applyBorder="1" applyAlignment="1" applyProtection="1">
      <alignment vertical="center"/>
    </xf>
    <xf numFmtId="0" fontId="6" fillId="0" borderId="15" xfId="0" applyFont="1" applyFill="1" applyBorder="1" applyAlignment="1" applyProtection="1">
      <alignment vertical="center"/>
    </xf>
    <xf numFmtId="49" fontId="6" fillId="0" borderId="2" xfId="0" applyNumberFormat="1" applyFont="1" applyFill="1" applyBorder="1" applyAlignment="1" applyProtection="1">
      <alignment horizontal="center" vertical="center"/>
    </xf>
    <xf numFmtId="0" fontId="6" fillId="4" borderId="2" xfId="0" applyFont="1" applyFill="1" applyBorder="1" applyAlignment="1" applyProtection="1">
      <alignment horizontal="center"/>
      <protection hidden="1"/>
    </xf>
    <xf numFmtId="0" fontId="5" fillId="0" borderId="0" xfId="0" applyFont="1" applyAlignment="1">
      <alignment horizontal="center" vertical="center" wrapText="1"/>
    </xf>
    <xf numFmtId="0" fontId="7" fillId="0" borderId="0" xfId="0" applyFont="1" applyAlignment="1" applyProtection="1">
      <alignment horizontal="center" vertical="center" wrapText="1" shrinkToFit="1"/>
    </xf>
    <xf numFmtId="0" fontId="24" fillId="0" borderId="0" xfId="0" applyFont="1" applyBorder="1" applyAlignment="1" applyProtection="1">
      <alignment horizontal="center" vertical="center"/>
    </xf>
    <xf numFmtId="0" fontId="23" fillId="0" borderId="0" xfId="0" applyFont="1" applyFill="1" applyAlignment="1">
      <alignment horizontal="center" vertical="center" wrapText="1"/>
    </xf>
    <xf numFmtId="164" fontId="6" fillId="0" borderId="2" xfId="1" applyFont="1" applyBorder="1" applyAlignment="1" applyProtection="1">
      <alignment vertical="center"/>
    </xf>
    <xf numFmtId="0" fontId="0" fillId="0" borderId="0" xfId="0" applyAlignment="1">
      <alignment horizontal="center"/>
    </xf>
    <xf numFmtId="0" fontId="0" fillId="0" borderId="0" xfId="0" applyAlignment="1"/>
    <xf numFmtId="2" fontId="0" fillId="0" borderId="0" xfId="0" applyNumberFormat="1"/>
    <xf numFmtId="0" fontId="1" fillId="0" borderId="0" xfId="0" applyFont="1"/>
    <xf numFmtId="2" fontId="1" fillId="0" borderId="0" xfId="0" applyNumberFormat="1" applyFont="1"/>
    <xf numFmtId="0" fontId="6" fillId="0" borderId="0" xfId="0" applyFont="1" applyAlignment="1" applyProtection="1">
      <alignment horizontal="center"/>
    </xf>
    <xf numFmtId="0" fontId="0" fillId="0" borderId="0" xfId="0" applyAlignment="1" applyProtection="1">
      <alignment horizontal="center"/>
      <protection hidden="1"/>
    </xf>
    <xf numFmtId="0" fontId="0" fillId="0" borderId="0" xfId="0" applyAlignment="1" applyProtection="1">
      <protection hidden="1"/>
    </xf>
    <xf numFmtId="0" fontId="0" fillId="0" borderId="0" xfId="0" applyProtection="1">
      <protection hidden="1"/>
    </xf>
    <xf numFmtId="0" fontId="0" fillId="0" borderId="0" xfId="0" applyFill="1" applyAlignment="1">
      <alignment horizontal="center" vertical="center"/>
    </xf>
    <xf numFmtId="0" fontId="0" fillId="0" borderId="0" xfId="0" applyAlignment="1">
      <alignment horizontal="left"/>
    </xf>
    <xf numFmtId="0" fontId="4" fillId="0" borderId="0" xfId="0" applyFont="1" applyBorder="1" applyAlignment="1" applyProtection="1">
      <alignment horizontal="center"/>
    </xf>
    <xf numFmtId="164" fontId="6" fillId="3" borderId="2" xfId="1" applyFont="1" applyFill="1" applyBorder="1" applyAlignment="1" applyProtection="1">
      <alignment vertical="center"/>
    </xf>
    <xf numFmtId="0" fontId="4" fillId="0" borderId="0" xfId="0" applyFont="1" applyBorder="1" applyAlignment="1" applyProtection="1"/>
    <xf numFmtId="164" fontId="6" fillId="4" borderId="2" xfId="1" applyFont="1" applyFill="1" applyBorder="1" applyAlignment="1" applyProtection="1">
      <alignment vertical="center"/>
    </xf>
    <xf numFmtId="0" fontId="1" fillId="0" borderId="0" xfId="0" applyFont="1" applyProtection="1">
      <protection hidden="1"/>
    </xf>
    <xf numFmtId="0" fontId="6" fillId="0" borderId="0" xfId="0" applyFont="1" applyFill="1" applyBorder="1" applyAlignment="1" applyProtection="1">
      <alignment horizontal="center"/>
    </xf>
    <xf numFmtId="0" fontId="6" fillId="0" borderId="6" xfId="0" applyFont="1" applyBorder="1" applyAlignment="1" applyProtection="1">
      <alignment horizontal="center"/>
    </xf>
    <xf numFmtId="0" fontId="6" fillId="0" borderId="2" xfId="0" applyFont="1" applyBorder="1" applyAlignment="1">
      <alignment horizontal="center"/>
    </xf>
    <xf numFmtId="0" fontId="6" fillId="0" borderId="16" xfId="0" applyFont="1" applyBorder="1" applyAlignment="1">
      <alignment horizontal="center"/>
    </xf>
    <xf numFmtId="0" fontId="6" fillId="0" borderId="2" xfId="0" applyFont="1" applyBorder="1" applyAlignment="1" applyProtection="1">
      <alignment horizontal="left"/>
    </xf>
    <xf numFmtId="0" fontId="6" fillId="0" borderId="4" xfId="0" applyFont="1" applyBorder="1" applyAlignment="1" applyProtection="1">
      <alignment horizontal="left"/>
    </xf>
    <xf numFmtId="0" fontId="6" fillId="0" borderId="11" xfId="0" applyFont="1" applyBorder="1" applyAlignment="1" applyProtection="1">
      <alignment horizontal="center"/>
    </xf>
    <xf numFmtId="0" fontId="6" fillId="0" borderId="2" xfId="0" applyFont="1" applyBorder="1" applyAlignment="1" applyProtection="1">
      <alignment horizontal="center"/>
    </xf>
    <xf numFmtId="0" fontId="0" fillId="0" borderId="0" xfId="0" applyProtection="1"/>
    <xf numFmtId="0" fontId="23" fillId="0" borderId="0" xfId="0" applyFont="1" applyBorder="1" applyAlignment="1" applyProtection="1">
      <alignment horizontal="center"/>
    </xf>
    <xf numFmtId="0" fontId="0" fillId="0" borderId="0" xfId="0" applyAlignment="1" applyProtection="1">
      <alignment horizontal="center"/>
    </xf>
    <xf numFmtId="0" fontId="6" fillId="0" borderId="0" xfId="0" applyFont="1" applyAlignment="1">
      <alignment horizontal="center"/>
    </xf>
    <xf numFmtId="14" fontId="0" fillId="0" borderId="0" xfId="0" applyNumberFormat="1" applyAlignment="1" applyProtection="1">
      <protection hidden="1"/>
    </xf>
    <xf numFmtId="166" fontId="0" fillId="0" borderId="0" xfId="0" applyNumberFormat="1" applyAlignment="1">
      <alignment horizontal="center"/>
    </xf>
    <xf numFmtId="0" fontId="0" fillId="0" borderId="0" xfId="0" applyNumberFormat="1" applyAlignment="1" applyProtection="1">
      <protection hidden="1"/>
    </xf>
    <xf numFmtId="14" fontId="0" fillId="0" borderId="0" xfId="0" applyNumberFormat="1" applyProtection="1">
      <protection hidden="1"/>
    </xf>
    <xf numFmtId="0" fontId="1" fillId="0" borderId="0" xfId="0" applyFont="1" applyAlignment="1">
      <alignment horizontal="center" wrapText="1"/>
    </xf>
    <xf numFmtId="0" fontId="1" fillId="0" borderId="0" xfId="0" applyFont="1" applyAlignment="1">
      <alignment horizontal="center"/>
    </xf>
    <xf numFmtId="0" fontId="4" fillId="0" borderId="0" xfId="0" applyFont="1" applyAlignment="1">
      <alignment horizontal="center" wrapText="1"/>
    </xf>
    <xf numFmtId="0" fontId="0" fillId="0" borderId="0" xfId="0" applyNumberFormat="1" applyProtection="1">
      <protection hidden="1"/>
    </xf>
    <xf numFmtId="17" fontId="0" fillId="0" borderId="0" xfId="0" applyNumberFormat="1" applyAlignment="1" applyProtection="1">
      <protection hidden="1"/>
    </xf>
    <xf numFmtId="0" fontId="5" fillId="5" borderId="0" xfId="0" applyFont="1" applyFill="1" applyAlignment="1">
      <alignment horizontal="center"/>
    </xf>
    <xf numFmtId="15" fontId="0" fillId="0" borderId="0" xfId="0" applyNumberFormat="1" applyAlignment="1">
      <alignment horizontal="center"/>
    </xf>
    <xf numFmtId="0" fontId="1" fillId="0" borderId="0" xfId="0" applyNumberFormat="1" applyFont="1"/>
    <xf numFmtId="0" fontId="20" fillId="0" borderId="0" xfId="0" applyFont="1" applyAlignment="1">
      <alignment horizontal="center"/>
    </xf>
    <xf numFmtId="16" fontId="1" fillId="0" borderId="0" xfId="0" applyNumberFormat="1" applyFont="1" applyAlignment="1">
      <alignment horizontal="center" wrapText="1"/>
    </xf>
    <xf numFmtId="0" fontId="5" fillId="5" borderId="0" xfId="0" applyFont="1" applyFill="1" applyAlignment="1">
      <alignment horizontal="center" wrapText="1"/>
    </xf>
    <xf numFmtId="0" fontId="1" fillId="0" borderId="0" xfId="0" applyNumberFormat="1" applyFont="1" applyAlignment="1">
      <alignment horizontal="center" wrapText="1"/>
    </xf>
    <xf numFmtId="16" fontId="1" fillId="6" borderId="0" xfId="0" applyNumberFormat="1" applyFont="1" applyFill="1" applyAlignment="1">
      <alignment horizontal="center"/>
    </xf>
    <xf numFmtId="0" fontId="5" fillId="4" borderId="6" xfId="0" applyFont="1" applyFill="1" applyBorder="1" applyAlignment="1" applyProtection="1">
      <alignment horizontal="center"/>
      <protection hidden="1"/>
    </xf>
    <xf numFmtId="0" fontId="17" fillId="0" borderId="0" xfId="0" applyFont="1" applyBorder="1" applyAlignment="1" applyProtection="1">
      <alignment horizontal="center"/>
    </xf>
    <xf numFmtId="49" fontId="6" fillId="0" borderId="2" xfId="0" applyNumberFormat="1" applyFont="1" applyBorder="1" applyAlignment="1" applyProtection="1">
      <alignment vertical="center"/>
    </xf>
    <xf numFmtId="49" fontId="6" fillId="0" borderId="2" xfId="0" applyNumberFormat="1" applyFont="1" applyFill="1" applyBorder="1" applyAlignment="1" applyProtection="1">
      <alignment vertical="center"/>
    </xf>
    <xf numFmtId="0" fontId="32" fillId="0" borderId="0" xfId="0" applyFont="1"/>
    <xf numFmtId="0" fontId="33" fillId="0" borderId="0" xfId="0" applyFont="1"/>
    <xf numFmtId="0" fontId="14" fillId="0" borderId="0" xfId="0" applyFont="1" applyProtection="1">
      <protection hidden="1"/>
    </xf>
    <xf numFmtId="0" fontId="14" fillId="0" borderId="0" xfId="0" applyFont="1" applyAlignment="1" applyProtection="1">
      <protection hidden="1"/>
    </xf>
    <xf numFmtId="0" fontId="14" fillId="0" borderId="1" xfId="0" applyFont="1" applyBorder="1" applyAlignment="1" applyProtection="1">
      <alignment horizontal="left"/>
      <protection hidden="1"/>
    </xf>
    <xf numFmtId="0" fontId="0" fillId="0" borderId="17" xfId="0" applyBorder="1" applyAlignment="1"/>
    <xf numFmtId="1" fontId="14" fillId="0" borderId="0" xfId="0" applyNumberFormat="1" applyFont="1" applyAlignment="1" applyProtection="1">
      <protection hidden="1"/>
    </xf>
    <xf numFmtId="0" fontId="3" fillId="0" borderId="0" xfId="0" applyFont="1" applyBorder="1" applyAlignment="1" applyProtection="1">
      <alignment horizontal="center" vertical="center"/>
    </xf>
    <xf numFmtId="0" fontId="6" fillId="0" borderId="0" xfId="0" applyFont="1" applyBorder="1" applyAlignment="1">
      <alignment vertical="center"/>
    </xf>
    <xf numFmtId="0" fontId="1" fillId="0" borderId="0" xfId="0" quotePrefix="1" applyFont="1" applyAlignment="1">
      <alignment horizontal="center"/>
    </xf>
    <xf numFmtId="0" fontId="0" fillId="0" borderId="0" xfId="0" applyBorder="1" applyAlignment="1" applyProtection="1"/>
    <xf numFmtId="164" fontId="6" fillId="0" borderId="0" xfId="1" applyFont="1" applyFill="1" applyBorder="1" applyAlignment="1">
      <alignment horizontal="center" vertical="center"/>
    </xf>
    <xf numFmtId="0" fontId="6" fillId="0" borderId="0" xfId="0" applyFont="1" applyFill="1" applyBorder="1" applyAlignment="1">
      <alignment vertical="center"/>
    </xf>
    <xf numFmtId="0" fontId="6" fillId="5" borderId="0" xfId="0" applyFont="1" applyFill="1"/>
    <xf numFmtId="0" fontId="6" fillId="5" borderId="0" xfId="0" applyFont="1" applyFill="1" applyBorder="1"/>
    <xf numFmtId="0" fontId="6" fillId="0" borderId="12" xfId="0" applyFont="1" applyBorder="1" applyAlignment="1" applyProtection="1">
      <alignment horizontal="center" vertical="top"/>
    </xf>
    <xf numFmtId="0" fontId="6" fillId="0" borderId="9" xfId="0" applyFont="1" applyBorder="1" applyAlignment="1" applyProtection="1">
      <alignment horizontal="center" vertical="top"/>
    </xf>
    <xf numFmtId="0" fontId="6" fillId="0" borderId="13" xfId="0" applyFont="1" applyBorder="1" applyAlignment="1" applyProtection="1">
      <alignment horizontal="center" vertical="top"/>
    </xf>
    <xf numFmtId="0" fontId="34" fillId="0" borderId="0" xfId="0" applyFont="1" applyAlignment="1" applyProtection="1">
      <alignment horizontal="center" vertical="top"/>
      <protection hidden="1"/>
    </xf>
    <xf numFmtId="0" fontId="34" fillId="0" borderId="18" xfId="0" applyFont="1" applyBorder="1" applyAlignment="1" applyProtection="1">
      <alignment horizontal="center" vertical="top"/>
      <protection hidden="1"/>
    </xf>
    <xf numFmtId="0" fontId="35" fillId="4" borderId="2" xfId="1" applyNumberFormat="1" applyFont="1" applyFill="1" applyBorder="1" applyAlignment="1" applyProtection="1">
      <alignment horizontal="center" vertical="center"/>
      <protection hidden="1"/>
    </xf>
    <xf numFmtId="0" fontId="0" fillId="5" borderId="0" xfId="0" applyFill="1"/>
    <xf numFmtId="0" fontId="0" fillId="5" borderId="0" xfId="0" applyFill="1" applyAlignment="1">
      <alignment horizontal="center"/>
    </xf>
    <xf numFmtId="0" fontId="0" fillId="5" borderId="0" xfId="0" applyFill="1" applyAlignment="1"/>
    <xf numFmtId="0" fontId="5" fillId="0" borderId="0" xfId="0" applyFont="1"/>
    <xf numFmtId="0" fontId="5" fillId="0" borderId="0" xfId="0" applyFont="1"/>
    <xf numFmtId="0" fontId="0" fillId="0" borderId="0" xfId="0" applyFont="1"/>
    <xf numFmtId="0" fontId="4" fillId="0" borderId="0" xfId="0" applyFont="1"/>
    <xf numFmtId="0" fontId="7" fillId="8" borderId="34" xfId="0" applyNumberFormat="1" applyFont="1" applyFill="1" applyBorder="1" applyAlignment="1" applyProtection="1">
      <alignment horizontal="center"/>
      <protection hidden="1"/>
    </xf>
    <xf numFmtId="0" fontId="7" fillId="8" borderId="35" xfId="0" applyNumberFormat="1" applyFont="1" applyFill="1" applyBorder="1" applyAlignment="1" applyProtection="1">
      <alignment horizontal="center"/>
      <protection hidden="1"/>
    </xf>
    <xf numFmtId="0" fontId="7" fillId="8" borderId="36" xfId="0" applyNumberFormat="1" applyFont="1" applyFill="1" applyBorder="1" applyAlignment="1" applyProtection="1">
      <alignment horizontal="center"/>
      <protection hidden="1"/>
    </xf>
    <xf numFmtId="0" fontId="15" fillId="8" borderId="44" xfId="0" applyFont="1" applyFill="1" applyBorder="1" applyAlignment="1" applyProtection="1">
      <alignment vertical="center"/>
    </xf>
    <xf numFmtId="0" fontId="0" fillId="0" borderId="37" xfId="0" applyBorder="1" applyAlignment="1">
      <alignment vertical="center"/>
    </xf>
    <xf numFmtId="0" fontId="15" fillId="8" borderId="37" xfId="0" applyFont="1" applyFill="1" applyBorder="1" applyAlignment="1" applyProtection="1">
      <alignment vertical="center"/>
    </xf>
    <xf numFmtId="0" fontId="0" fillId="0" borderId="38" xfId="0" applyBorder="1" applyAlignment="1">
      <alignment vertical="center"/>
    </xf>
    <xf numFmtId="0" fontId="6" fillId="0" borderId="41" xfId="0" applyFont="1" applyFill="1" applyBorder="1" applyAlignment="1" applyProtection="1">
      <alignment horizontal="center"/>
    </xf>
    <xf numFmtId="0" fontId="6" fillId="0" borderId="11" xfId="0" applyFont="1" applyFill="1" applyBorder="1" applyAlignment="1" applyProtection="1">
      <alignment horizontal="center"/>
    </xf>
    <xf numFmtId="0" fontId="7" fillId="0" borderId="2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6" fillId="0" borderId="41"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1" fontId="20" fillId="4" borderId="34" xfId="0" applyNumberFormat="1" applyFont="1" applyFill="1" applyBorder="1" applyAlignment="1" applyProtection="1">
      <alignment horizontal="center" vertical="center"/>
      <protection hidden="1"/>
    </xf>
    <xf numFmtId="1" fontId="20" fillId="4" borderId="36" xfId="0" applyNumberFormat="1" applyFont="1" applyFill="1" applyBorder="1" applyAlignment="1" applyProtection="1">
      <alignment horizontal="center" vertical="center"/>
      <protection hidden="1"/>
    </xf>
    <xf numFmtId="0" fontId="6" fillId="0" borderId="6" xfId="0" applyFont="1" applyBorder="1" applyAlignment="1">
      <alignment vertical="center"/>
    </xf>
    <xf numFmtId="0" fontId="6" fillId="0" borderId="42" xfId="0" applyFont="1" applyBorder="1" applyAlignment="1">
      <alignment vertical="center"/>
    </xf>
    <xf numFmtId="0" fontId="17" fillId="7" borderId="6" xfId="0" applyFont="1" applyFill="1"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28" xfId="0" applyBorder="1" applyAlignment="1" applyProtection="1">
      <alignment vertical="center"/>
      <protection hidden="1"/>
    </xf>
    <xf numFmtId="0" fontId="6" fillId="0" borderId="48" xfId="0" applyFont="1" applyFill="1" applyBorder="1" applyAlignment="1" applyProtection="1">
      <alignment horizontal="center"/>
    </xf>
    <xf numFmtId="0" fontId="6" fillId="0" borderId="8" xfId="0" applyFont="1" applyFill="1" applyBorder="1" applyAlignment="1" applyProtection="1">
      <alignment horizontal="center"/>
    </xf>
    <xf numFmtId="0" fontId="0" fillId="8" borderId="37" xfId="0" applyFill="1" applyBorder="1" applyAlignment="1">
      <alignment vertical="center"/>
    </xf>
    <xf numFmtId="49" fontId="6" fillId="0" borderId="27" xfId="0" applyNumberFormat="1" applyFont="1" applyFill="1" applyBorder="1" applyAlignment="1" applyProtection="1">
      <alignment vertical="center"/>
    </xf>
    <xf numFmtId="49" fontId="6" fillId="0" borderId="16" xfId="0" applyNumberFormat="1" applyFont="1" applyFill="1" applyBorder="1" applyAlignment="1" applyProtection="1">
      <alignment vertical="center"/>
    </xf>
    <xf numFmtId="49" fontId="6" fillId="0" borderId="28" xfId="0" applyNumberFormat="1" applyFont="1" applyFill="1" applyBorder="1" applyAlignment="1" applyProtection="1">
      <alignment vertical="center"/>
    </xf>
    <xf numFmtId="0" fontId="1" fillId="4" borderId="6" xfId="0" applyNumberFormat="1" applyFont="1" applyFill="1" applyBorder="1" applyAlignment="1" applyProtection="1">
      <alignment vertical="center"/>
      <protection hidden="1"/>
    </xf>
    <xf numFmtId="0" fontId="1" fillId="4" borderId="16" xfId="0" applyNumberFormat="1" applyFont="1" applyFill="1" applyBorder="1" applyAlignment="1" applyProtection="1">
      <alignment vertical="center"/>
      <protection hidden="1"/>
    </xf>
    <xf numFmtId="0" fontId="1" fillId="4" borderId="29" xfId="0" applyNumberFormat="1" applyFont="1" applyFill="1" applyBorder="1" applyAlignment="1" applyProtection="1">
      <alignment vertical="center"/>
      <protection hidden="1"/>
    </xf>
    <xf numFmtId="0" fontId="6" fillId="4" borderId="6" xfId="0" applyFont="1" applyFill="1" applyBorder="1" applyAlignment="1" applyProtection="1">
      <alignment horizontal="center"/>
      <protection hidden="1"/>
    </xf>
    <xf numFmtId="0" fontId="0" fillId="0" borderId="28" xfId="0" applyBorder="1" applyAlignment="1" applyProtection="1">
      <alignment horizontal="center"/>
      <protection hidden="1"/>
    </xf>
    <xf numFmtId="0" fontId="17" fillId="0" borderId="50" xfId="0" applyFont="1" applyBorder="1" applyAlignment="1" applyProtection="1">
      <alignment horizontal="center"/>
    </xf>
    <xf numFmtId="0" fontId="17" fillId="0" borderId="30" xfId="0" applyFont="1" applyBorder="1" applyAlignment="1">
      <alignment horizontal="center"/>
    </xf>
    <xf numFmtId="0" fontId="7" fillId="0" borderId="34"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2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3" xfId="0" applyFont="1" applyBorder="1" applyAlignment="1" applyProtection="1">
      <alignment horizontal="center" vertical="center"/>
    </xf>
    <xf numFmtId="0" fontId="6" fillId="0" borderId="39" xfId="0" applyFont="1" applyFill="1" applyBorder="1" applyAlignment="1" applyProtection="1">
      <alignment horizontal="center" wrapText="1"/>
    </xf>
    <xf numFmtId="0" fontId="6" fillId="0" borderId="40" xfId="0" applyFont="1" applyFill="1" applyBorder="1" applyAlignment="1" applyProtection="1">
      <alignment horizontal="center" wrapText="1"/>
    </xf>
    <xf numFmtId="165" fontId="20" fillId="4" borderId="34" xfId="0" quotePrefix="1" applyNumberFormat="1" applyFont="1" applyFill="1" applyBorder="1" applyAlignment="1" applyProtection="1">
      <alignment horizontal="left" vertical="center"/>
      <protection hidden="1"/>
    </xf>
    <xf numFmtId="165" fontId="20" fillId="4" borderId="36" xfId="0" quotePrefix="1" applyNumberFormat="1" applyFont="1" applyFill="1" applyBorder="1" applyAlignment="1" applyProtection="1">
      <alignment horizontal="left" vertical="center"/>
      <protection hidden="1"/>
    </xf>
    <xf numFmtId="165" fontId="20" fillId="4" borderId="35" xfId="0" quotePrefix="1" applyNumberFormat="1" applyFont="1" applyFill="1" applyBorder="1" applyAlignment="1" applyProtection="1">
      <alignment horizontal="left" vertical="center"/>
      <protection hidden="1"/>
    </xf>
    <xf numFmtId="0" fontId="6" fillId="0" borderId="31" xfId="0" applyFont="1" applyFill="1" applyBorder="1" applyAlignment="1" applyProtection="1">
      <alignment horizontal="center" wrapText="1"/>
    </xf>
    <xf numFmtId="0" fontId="6" fillId="0" borderId="32" xfId="0" applyFont="1" applyFill="1" applyBorder="1" applyAlignment="1" applyProtection="1">
      <alignment horizontal="center" wrapText="1"/>
    </xf>
    <xf numFmtId="0" fontId="6" fillId="0" borderId="33" xfId="0" applyFont="1" applyFill="1" applyBorder="1" applyAlignment="1" applyProtection="1">
      <alignment horizontal="center" wrapText="1"/>
    </xf>
    <xf numFmtId="0" fontId="17" fillId="0" borderId="0" xfId="0" applyFont="1" applyAlignment="1">
      <alignment horizontal="center"/>
    </xf>
    <xf numFmtId="0" fontId="1" fillId="8" borderId="34" xfId="0" applyFont="1" applyFill="1" applyBorder="1" applyAlignment="1" applyProtection="1">
      <alignment horizontal="center" vertical="center"/>
      <protection hidden="1"/>
    </xf>
    <xf numFmtId="0" fontId="1" fillId="8" borderId="35" xfId="0" applyFont="1" applyFill="1" applyBorder="1" applyAlignment="1" applyProtection="1">
      <alignment horizontal="center" vertical="center"/>
      <protection hidden="1"/>
    </xf>
    <xf numFmtId="0" fontId="1" fillId="8" borderId="36"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1" fontId="20" fillId="4" borderId="35" xfId="0" applyNumberFormat="1" applyFont="1" applyFill="1" applyBorder="1" applyAlignment="1" applyProtection="1">
      <alignment horizontal="center" vertical="center"/>
      <protection hidden="1"/>
    </xf>
    <xf numFmtId="0" fontId="7" fillId="0" borderId="3"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6" fillId="0" borderId="27"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28" xfId="0" applyFont="1" applyBorder="1" applyAlignment="1" applyProtection="1">
      <alignment vertical="center" wrapText="1"/>
    </xf>
    <xf numFmtId="0" fontId="1" fillId="4" borderId="6" xfId="0" applyNumberFormat="1" applyFont="1" applyFill="1" applyBorder="1" applyAlignment="1" applyProtection="1">
      <alignment horizontal="center" vertical="center"/>
      <protection hidden="1"/>
    </xf>
    <xf numFmtId="0" fontId="1" fillId="4" borderId="16" xfId="0" applyNumberFormat="1" applyFont="1" applyFill="1" applyBorder="1" applyAlignment="1" applyProtection="1">
      <alignment horizontal="center" vertical="center"/>
      <protection hidden="1"/>
    </xf>
    <xf numFmtId="0" fontId="1" fillId="4" borderId="29" xfId="0" applyNumberFormat="1" applyFont="1" applyFill="1" applyBorder="1" applyAlignment="1" applyProtection="1">
      <alignment horizontal="center" vertical="center"/>
      <protection hidden="1"/>
    </xf>
    <xf numFmtId="49" fontId="6" fillId="0" borderId="45" xfId="0" applyNumberFormat="1" applyFont="1" applyBorder="1" applyAlignment="1" applyProtection="1">
      <alignment vertical="center"/>
    </xf>
    <xf numFmtId="49" fontId="6" fillId="0" borderId="25" xfId="0" applyNumberFormat="1" applyFont="1" applyBorder="1" applyAlignment="1" applyProtection="1">
      <alignment vertical="center"/>
    </xf>
    <xf numFmtId="49" fontId="6" fillId="0" borderId="46" xfId="0" applyNumberFormat="1" applyFont="1" applyBorder="1" applyAlignment="1" applyProtection="1">
      <alignment vertical="center"/>
    </xf>
    <xf numFmtId="0" fontId="18" fillId="0" borderId="7" xfId="0" applyNumberFormat="1" applyFont="1" applyFill="1" applyBorder="1" applyAlignment="1" applyProtection="1">
      <alignment horizontal="center" vertical="center"/>
    </xf>
    <xf numFmtId="0" fontId="18" fillId="0" borderId="25" xfId="0" applyNumberFormat="1" applyFont="1" applyFill="1" applyBorder="1" applyAlignment="1" applyProtection="1">
      <alignment horizontal="center" vertical="center"/>
    </xf>
    <xf numFmtId="0" fontId="18" fillId="0" borderId="26" xfId="0" applyNumberFormat="1" applyFont="1" applyFill="1" applyBorder="1" applyAlignment="1" applyProtection="1">
      <alignment horizontal="center" vertical="center"/>
    </xf>
    <xf numFmtId="0" fontId="1" fillId="4" borderId="7" xfId="0" applyNumberFormat="1" applyFont="1" applyFill="1" applyBorder="1" applyAlignment="1" applyProtection="1">
      <alignment vertical="center"/>
      <protection hidden="1"/>
    </xf>
    <xf numFmtId="0" fontId="1" fillId="4" borderId="25" xfId="0" applyNumberFormat="1" applyFont="1" applyFill="1" applyBorder="1" applyAlignment="1" applyProtection="1">
      <alignment vertical="center"/>
      <protection hidden="1"/>
    </xf>
    <xf numFmtId="0" fontId="1" fillId="4" borderId="26" xfId="0" applyNumberFormat="1" applyFont="1" applyFill="1" applyBorder="1" applyAlignment="1" applyProtection="1">
      <alignment vertical="center"/>
      <protection hidden="1"/>
    </xf>
    <xf numFmtId="0" fontId="5" fillId="0" borderId="20" xfId="0" applyFont="1" applyBorder="1" applyAlignment="1" applyProtection="1">
      <alignment vertical="center"/>
    </xf>
    <xf numFmtId="0" fontId="5" fillId="0" borderId="10" xfId="0" applyFont="1" applyBorder="1" applyAlignment="1" applyProtection="1">
      <alignment vertical="center"/>
    </xf>
    <xf numFmtId="0" fontId="5" fillId="0" borderId="19" xfId="0" applyFont="1" applyBorder="1" applyAlignment="1" applyProtection="1">
      <alignment vertical="center"/>
    </xf>
    <xf numFmtId="0" fontId="5" fillId="0" borderId="23" xfId="0" applyFont="1" applyBorder="1" applyAlignment="1" applyProtection="1">
      <alignment vertical="center"/>
    </xf>
    <xf numFmtId="0" fontId="5" fillId="0" borderId="1" xfId="0" applyFont="1" applyBorder="1" applyAlignment="1" applyProtection="1">
      <alignment vertical="center"/>
    </xf>
    <xf numFmtId="0" fontId="5" fillId="0" borderId="24" xfId="0" applyFont="1" applyBorder="1" applyAlignment="1" applyProtection="1">
      <alignment vertical="center"/>
    </xf>
    <xf numFmtId="49" fontId="6" fillId="0" borderId="27" xfId="0" applyNumberFormat="1" applyFont="1" applyBorder="1" applyAlignment="1" applyProtection="1">
      <alignment vertical="center"/>
    </xf>
    <xf numFmtId="49" fontId="6" fillId="0" borderId="28" xfId="0" applyNumberFormat="1" applyFont="1" applyBorder="1" applyAlignment="1" applyProtection="1">
      <alignment vertical="center"/>
    </xf>
    <xf numFmtId="49" fontId="6" fillId="0" borderId="6" xfId="0" applyNumberFormat="1" applyFont="1" applyBorder="1" applyAlignment="1" applyProtection="1">
      <alignment horizontal="center" vertical="center" wrapText="1" shrinkToFit="1"/>
    </xf>
    <xf numFmtId="49" fontId="6" fillId="0" borderId="16" xfId="0" applyNumberFormat="1" applyFont="1" applyBorder="1" applyAlignment="1" applyProtection="1">
      <alignment horizontal="center" vertical="center" wrapText="1" shrinkToFit="1"/>
    </xf>
    <xf numFmtId="49" fontId="6" fillId="0" borderId="28" xfId="0" applyNumberFormat="1" applyFont="1" applyBorder="1" applyAlignment="1" applyProtection="1">
      <alignment horizontal="center" vertical="center" wrapText="1" shrinkToFit="1"/>
    </xf>
    <xf numFmtId="49" fontId="6" fillId="0" borderId="6" xfId="0" applyNumberFormat="1" applyFont="1" applyBorder="1" applyAlignment="1" applyProtection="1">
      <alignment horizontal="center" vertical="center"/>
    </xf>
    <xf numFmtId="49" fontId="6" fillId="0" borderId="16" xfId="0" applyNumberFormat="1" applyFont="1" applyBorder="1" applyAlignment="1" applyProtection="1">
      <alignment horizontal="center" vertical="center"/>
    </xf>
    <xf numFmtId="49" fontId="6" fillId="0" borderId="28" xfId="0" applyNumberFormat="1" applyFont="1" applyBorder="1" applyAlignment="1" applyProtection="1">
      <alignment horizontal="center" vertical="center"/>
    </xf>
    <xf numFmtId="49" fontId="6" fillId="0" borderId="29" xfId="0" applyNumberFormat="1" applyFont="1" applyBorder="1" applyAlignment="1" applyProtection="1">
      <alignment horizontal="center" vertical="center"/>
    </xf>
    <xf numFmtId="0" fontId="1" fillId="4" borderId="28" xfId="0" applyNumberFormat="1" applyFont="1" applyFill="1" applyBorder="1" applyAlignment="1" applyProtection="1">
      <alignment horizontal="center" vertical="center"/>
      <protection hidden="1"/>
    </xf>
    <xf numFmtId="49" fontId="31" fillId="4" borderId="21" xfId="0" applyNumberFormat="1" applyFont="1" applyFill="1" applyBorder="1" applyAlignment="1">
      <alignment horizontal="left" vertical="center" wrapText="1"/>
    </xf>
    <xf numFmtId="49" fontId="31" fillId="4" borderId="22" xfId="0" applyNumberFormat="1" applyFont="1" applyFill="1" applyBorder="1" applyAlignment="1">
      <alignment horizontal="left" vertical="center" wrapText="1"/>
    </xf>
    <xf numFmtId="49" fontId="31" fillId="4" borderId="49" xfId="0" applyNumberFormat="1" applyFont="1" applyFill="1" applyBorder="1" applyAlignment="1">
      <alignment horizontal="left" vertical="center" wrapText="1"/>
    </xf>
    <xf numFmtId="49" fontId="31" fillId="4" borderId="23" xfId="0" applyNumberFormat="1" applyFont="1" applyFill="1" applyBorder="1" applyAlignment="1">
      <alignment horizontal="left" vertical="center" wrapText="1"/>
    </xf>
    <xf numFmtId="49" fontId="31" fillId="4" borderId="1" xfId="0" applyNumberFormat="1" applyFont="1" applyFill="1" applyBorder="1" applyAlignment="1">
      <alignment horizontal="left" vertical="center" wrapText="1"/>
    </xf>
    <xf numFmtId="49" fontId="31" fillId="4" borderId="24" xfId="0" applyNumberFormat="1" applyFont="1" applyFill="1" applyBorder="1" applyAlignment="1">
      <alignment horizontal="left" vertical="center" wrapText="1"/>
    </xf>
    <xf numFmtId="0" fontId="1" fillId="4" borderId="28" xfId="0" applyNumberFormat="1" applyFont="1" applyFill="1" applyBorder="1" applyAlignment="1" applyProtection="1">
      <alignment vertical="center"/>
      <protection hidden="1"/>
    </xf>
    <xf numFmtId="49" fontId="6" fillId="0" borderId="6" xfId="0" applyNumberFormat="1" applyFont="1" applyBorder="1" applyAlignment="1" applyProtection="1">
      <alignment vertical="center"/>
    </xf>
    <xf numFmtId="49" fontId="6" fillId="0" borderId="16" xfId="0" applyNumberFormat="1" applyFont="1" applyBorder="1" applyAlignment="1" applyProtection="1">
      <alignment vertical="center"/>
    </xf>
    <xf numFmtId="164" fontId="6" fillId="4" borderId="6" xfId="0" applyNumberFormat="1" applyFont="1" applyFill="1" applyBorder="1" applyAlignment="1">
      <alignment vertical="center"/>
    </xf>
    <xf numFmtId="164" fontId="6" fillId="4" borderId="28" xfId="0" applyNumberFormat="1" applyFont="1" applyFill="1" applyBorder="1" applyAlignment="1">
      <alignment vertical="center"/>
    </xf>
    <xf numFmtId="0" fontId="4" fillId="0" borderId="2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0" fillId="0" borderId="10"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3" xfId="0" applyBorder="1" applyAlignment="1">
      <alignment vertical="center"/>
    </xf>
    <xf numFmtId="164" fontId="6" fillId="0" borderId="6" xfId="1" applyFont="1" applyBorder="1" applyAlignment="1" applyProtection="1">
      <alignment vertical="center"/>
    </xf>
    <xf numFmtId="164" fontId="6" fillId="0" borderId="28" xfId="1" applyFont="1" applyBorder="1" applyAlignment="1" applyProtection="1">
      <alignment vertical="center"/>
    </xf>
    <xf numFmtId="0" fontId="25" fillId="4" borderId="0" xfId="0" applyFont="1" applyFill="1" applyAlignment="1">
      <alignment horizontal="center" vertical="center" wrapText="1"/>
    </xf>
    <xf numFmtId="0" fontId="26" fillId="4" borderId="0" xfId="0" applyFont="1" applyFill="1" applyAlignment="1">
      <alignment horizontal="center" vertical="center" wrapText="1"/>
    </xf>
    <xf numFmtId="0" fontId="39" fillId="0" borderId="0" xfId="0" applyFont="1" applyAlignment="1" applyProtection="1">
      <alignment horizontal="center" vertical="center" wrapText="1" shrinkToFit="1"/>
    </xf>
    <xf numFmtId="0" fontId="5" fillId="0" borderId="0" xfId="0" applyFont="1"/>
    <xf numFmtId="0" fontId="6" fillId="0" borderId="0" xfId="0" applyFont="1" applyAlignment="1" applyProtection="1">
      <alignment horizontal="center" wrapText="1" shrinkToFit="1"/>
    </xf>
    <xf numFmtId="0" fontId="6" fillId="0" borderId="0" xfId="0" applyFont="1" applyAlignment="1">
      <alignment horizontal="center"/>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49" fontId="6" fillId="0" borderId="27" xfId="0" applyNumberFormat="1" applyFont="1" applyFill="1" applyBorder="1" applyAlignment="1" applyProtection="1">
      <alignment horizontal="left" vertical="center"/>
    </xf>
    <xf numFmtId="49" fontId="6" fillId="0" borderId="16" xfId="0" applyNumberFormat="1" applyFont="1" applyFill="1" applyBorder="1" applyAlignment="1" applyProtection="1">
      <alignment horizontal="left" vertical="center"/>
    </xf>
    <xf numFmtId="49" fontId="6" fillId="0" borderId="28" xfId="0" applyNumberFormat="1" applyFont="1" applyFill="1" applyBorder="1" applyAlignment="1" applyProtection="1">
      <alignment horizontal="left" vertical="center"/>
    </xf>
    <xf numFmtId="0" fontId="1" fillId="4" borderId="6" xfId="0" applyNumberFormat="1" applyFont="1" applyFill="1" applyBorder="1" applyAlignment="1" applyProtection="1">
      <alignment horizontal="left" vertical="center"/>
      <protection hidden="1"/>
    </xf>
    <xf numFmtId="0" fontId="1" fillId="4" borderId="16" xfId="0" applyNumberFormat="1" applyFont="1" applyFill="1" applyBorder="1" applyAlignment="1" applyProtection="1">
      <alignment horizontal="left" vertical="center"/>
      <protection hidden="1"/>
    </xf>
    <xf numFmtId="0" fontId="1" fillId="4" borderId="28" xfId="0" applyNumberFormat="1" applyFont="1" applyFill="1" applyBorder="1" applyAlignment="1" applyProtection="1">
      <alignment horizontal="left" vertical="center"/>
      <protection hidden="1"/>
    </xf>
    <xf numFmtId="49" fontId="6" fillId="0" borderId="45" xfId="0" applyNumberFormat="1" applyFont="1" applyBorder="1" applyAlignment="1" applyProtection="1">
      <alignment horizontal="left" vertical="center"/>
    </xf>
    <xf numFmtId="49" fontId="6" fillId="0" borderId="25" xfId="0" applyNumberFormat="1" applyFont="1" applyBorder="1" applyAlignment="1" applyProtection="1">
      <alignment horizontal="left" vertical="center"/>
    </xf>
    <xf numFmtId="49" fontId="6" fillId="0" borderId="46" xfId="0" applyNumberFormat="1" applyFont="1" applyBorder="1" applyAlignment="1" applyProtection="1">
      <alignment horizontal="left" vertical="center"/>
    </xf>
    <xf numFmtId="0" fontId="1" fillId="4" borderId="7" xfId="0" applyNumberFormat="1" applyFont="1" applyFill="1" applyBorder="1" applyAlignment="1" applyProtection="1">
      <alignment horizontal="left" vertical="center"/>
      <protection hidden="1"/>
    </xf>
    <xf numFmtId="0" fontId="1" fillId="4" borderId="25" xfId="0" applyNumberFormat="1" applyFont="1" applyFill="1" applyBorder="1" applyAlignment="1" applyProtection="1">
      <alignment horizontal="left" vertical="center"/>
      <protection hidden="1"/>
    </xf>
    <xf numFmtId="0" fontId="1" fillId="4" borderId="26" xfId="0" applyNumberFormat="1" applyFont="1" applyFill="1" applyBorder="1" applyAlignment="1" applyProtection="1">
      <alignment horizontal="left" vertical="center"/>
      <protection hidden="1"/>
    </xf>
    <xf numFmtId="49" fontId="6" fillId="0" borderId="27" xfId="0" applyNumberFormat="1" applyFont="1" applyBorder="1" applyAlignment="1" applyProtection="1">
      <alignment horizontal="left" vertical="center"/>
    </xf>
    <xf numFmtId="49" fontId="6" fillId="0" borderId="16" xfId="0" applyNumberFormat="1" applyFont="1" applyBorder="1" applyAlignment="1" applyProtection="1">
      <alignment horizontal="left" vertical="center"/>
    </xf>
    <xf numFmtId="49" fontId="6" fillId="0" borderId="28" xfId="0" applyNumberFormat="1" applyFont="1" applyBorder="1" applyAlignment="1" applyProtection="1">
      <alignment horizontal="left" vertical="center"/>
    </xf>
    <xf numFmtId="0" fontId="1" fillId="4" borderId="29" xfId="0" applyNumberFormat="1" applyFont="1" applyFill="1" applyBorder="1" applyAlignment="1" applyProtection="1">
      <alignment horizontal="left" vertical="center"/>
      <protection hidden="1"/>
    </xf>
    <xf numFmtId="49" fontId="31" fillId="4" borderId="21" xfId="0" applyNumberFormat="1" applyFont="1" applyFill="1" applyBorder="1" applyAlignment="1" applyProtection="1">
      <alignment horizontal="left" vertical="center" wrapText="1"/>
    </xf>
    <xf numFmtId="0" fontId="0" fillId="0" borderId="22" xfId="0" applyBorder="1"/>
    <xf numFmtId="0" fontId="0" fillId="0" borderId="49" xfId="0" applyBorder="1"/>
    <xf numFmtId="0" fontId="0" fillId="0" borderId="23" xfId="0" applyBorder="1"/>
    <xf numFmtId="0" fontId="0" fillId="0" borderId="1" xfId="0" applyBorder="1"/>
    <xf numFmtId="0" fontId="0" fillId="0" borderId="24" xfId="0" applyBorder="1"/>
    <xf numFmtId="0" fontId="5" fillId="8" borderId="34" xfId="0" applyFont="1" applyFill="1" applyBorder="1" applyAlignment="1" applyProtection="1">
      <alignment horizontal="center" vertical="center"/>
      <protection hidden="1"/>
    </xf>
    <xf numFmtId="0" fontId="5" fillId="8" borderId="35" xfId="0" applyFont="1" applyFill="1" applyBorder="1" applyAlignment="1" applyProtection="1">
      <alignment horizontal="center" vertical="center"/>
      <protection hidden="1"/>
    </xf>
    <xf numFmtId="0" fontId="5" fillId="8" borderId="36" xfId="0" applyFont="1" applyFill="1" applyBorder="1" applyAlignment="1" applyProtection="1">
      <alignment horizontal="center" vertical="center"/>
      <protection hidden="1"/>
    </xf>
    <xf numFmtId="0" fontId="0" fillId="0" borderId="0" xfId="0" applyBorder="1" applyAlignment="1" applyProtection="1">
      <alignment horizontal="center"/>
    </xf>
    <xf numFmtId="0" fontId="1" fillId="0" borderId="0" xfId="0" applyFont="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xf>
    <xf numFmtId="0" fontId="40" fillId="0" borderId="0" xfId="0" applyFont="1" applyAlignment="1" applyProtection="1">
      <alignment vertical="center"/>
    </xf>
    <xf numFmtId="0" fontId="17" fillId="0" borderId="0" xfId="0" applyFont="1" applyAlignment="1" applyProtection="1">
      <alignment vertical="center"/>
    </xf>
    <xf numFmtId="0" fontId="2" fillId="0" borderId="1" xfId="0" applyFont="1" applyBorder="1" applyAlignment="1">
      <alignment horizontal="center" vertical="center"/>
    </xf>
    <xf numFmtId="0" fontId="6" fillId="3" borderId="6" xfId="0" applyFont="1" applyFill="1" applyBorder="1" applyAlignment="1">
      <alignment vertical="center"/>
    </xf>
    <xf numFmtId="0" fontId="6" fillId="3" borderId="28" xfId="0" applyFont="1" applyFill="1" applyBorder="1" applyAlignment="1">
      <alignment vertical="center"/>
    </xf>
    <xf numFmtId="0" fontId="1" fillId="3" borderId="7" xfId="0" applyFont="1" applyFill="1" applyBorder="1" applyAlignment="1" applyProtection="1">
      <alignment vertical="center"/>
      <protection locked="0"/>
    </xf>
    <xf numFmtId="0" fontId="1" fillId="3" borderId="25" xfId="0" applyFont="1" applyFill="1" applyBorder="1" applyAlignment="1" applyProtection="1">
      <alignment vertical="center"/>
      <protection locked="0"/>
    </xf>
    <xf numFmtId="0" fontId="1" fillId="3" borderId="26" xfId="0" applyFont="1" applyFill="1" applyBorder="1" applyAlignment="1" applyProtection="1">
      <alignment vertical="center"/>
      <protection locked="0"/>
    </xf>
    <xf numFmtId="0" fontId="6" fillId="0" borderId="27"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28" xfId="0" applyFont="1" applyFill="1" applyBorder="1" applyAlignment="1" applyProtection="1">
      <alignment vertical="center"/>
    </xf>
    <xf numFmtId="0" fontId="21" fillId="3" borderId="6" xfId="0"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0" fontId="21" fillId="3" borderId="29"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16" xfId="0" applyFont="1" applyFill="1" applyBorder="1" applyAlignment="1" applyProtection="1">
      <alignment vertical="center"/>
      <protection locked="0"/>
    </xf>
    <xf numFmtId="0" fontId="1" fillId="3" borderId="29" xfId="0" applyFont="1" applyFill="1" applyBorder="1" applyAlignment="1" applyProtection="1">
      <alignment vertical="center"/>
      <protection locked="0"/>
    </xf>
    <xf numFmtId="49" fontId="18" fillId="0" borderId="20" xfId="0" applyNumberFormat="1" applyFont="1" applyFill="1" applyBorder="1" applyAlignment="1" applyProtection="1">
      <alignment horizontal="center" vertical="center"/>
    </xf>
    <xf numFmtId="49" fontId="18" fillId="0" borderId="10" xfId="0" applyNumberFormat="1" applyFont="1" applyFill="1" applyBorder="1" applyAlignment="1" applyProtection="1">
      <alignment horizontal="center" vertical="center"/>
    </xf>
    <xf numFmtId="49" fontId="18" fillId="0" borderId="19" xfId="0" applyNumberFormat="1" applyFont="1" applyFill="1" applyBorder="1" applyAlignment="1" applyProtection="1">
      <alignment horizontal="center" vertical="center"/>
    </xf>
    <xf numFmtId="49" fontId="18" fillId="0" borderId="12" xfId="0" applyNumberFormat="1" applyFont="1" applyFill="1" applyBorder="1" applyAlignment="1" applyProtection="1">
      <alignment horizontal="center" vertical="center"/>
    </xf>
    <xf numFmtId="49" fontId="18" fillId="0" borderId="9" xfId="0" applyNumberFormat="1" applyFont="1" applyFill="1" applyBorder="1" applyAlignment="1" applyProtection="1">
      <alignment horizontal="center" vertical="center"/>
    </xf>
    <xf numFmtId="49" fontId="18" fillId="0" borderId="13" xfId="0" applyNumberFormat="1" applyFont="1" applyFill="1" applyBorder="1" applyAlignment="1" applyProtection="1">
      <alignment horizontal="center" vertical="center"/>
    </xf>
    <xf numFmtId="0" fontId="1" fillId="3" borderId="6"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1" fillId="3" borderId="28" xfId="0" applyFont="1" applyFill="1" applyBorder="1" applyAlignment="1" applyProtection="1">
      <alignment vertical="center"/>
      <protection locked="0"/>
    </xf>
    <xf numFmtId="49" fontId="1" fillId="3" borderId="6" xfId="0" applyNumberFormat="1" applyFont="1" applyFill="1" applyBorder="1" applyAlignment="1" applyProtection="1">
      <alignment vertical="center"/>
      <protection locked="0"/>
    </xf>
    <xf numFmtId="49" fontId="1" fillId="3" borderId="16" xfId="0" applyNumberFormat="1" applyFont="1" applyFill="1" applyBorder="1" applyAlignment="1" applyProtection="1">
      <alignment vertical="center"/>
      <protection locked="0"/>
    </xf>
    <xf numFmtId="49" fontId="1" fillId="3" borderId="29" xfId="0" applyNumberFormat="1" applyFont="1" applyFill="1" applyBorder="1" applyAlignment="1" applyProtection="1">
      <alignment vertical="center"/>
      <protection locked="0"/>
    </xf>
    <xf numFmtId="0" fontId="6" fillId="0" borderId="6" xfId="0" applyFont="1" applyBorder="1" applyAlignment="1" applyProtection="1">
      <alignment vertical="center"/>
    </xf>
    <xf numFmtId="0" fontId="0" fillId="0" borderId="28" xfId="0" applyBorder="1" applyAlignment="1">
      <alignment vertical="center"/>
    </xf>
    <xf numFmtId="0" fontId="29" fillId="0" borderId="20" xfId="0" applyFont="1" applyBorder="1" applyAlignment="1" applyProtection="1">
      <alignment horizontal="center" vertical="center" wrapText="1" shrinkToFit="1"/>
    </xf>
    <xf numFmtId="0" fontId="29" fillId="0" borderId="10" xfId="0" applyFont="1" applyBorder="1" applyAlignment="1" applyProtection="1">
      <alignment horizontal="center" vertical="center" wrapText="1" shrinkToFit="1"/>
    </xf>
    <xf numFmtId="0" fontId="29" fillId="0" borderId="19" xfId="0" applyFont="1" applyBorder="1" applyAlignment="1" applyProtection="1">
      <alignment horizontal="center" vertical="center" wrapText="1" shrinkToFit="1"/>
    </xf>
    <xf numFmtId="0" fontId="29" fillId="0" borderId="12" xfId="0" applyFont="1" applyBorder="1" applyAlignment="1" applyProtection="1">
      <alignment horizontal="center" vertical="center" wrapText="1" shrinkToFit="1"/>
    </xf>
    <xf numFmtId="0" fontId="29" fillId="0" borderId="9" xfId="0" applyFont="1" applyBorder="1" applyAlignment="1" applyProtection="1">
      <alignment horizontal="center" vertical="center" wrapText="1" shrinkToFit="1"/>
    </xf>
    <xf numFmtId="0" fontId="29" fillId="0" borderId="13" xfId="0" applyFont="1" applyBorder="1" applyAlignment="1" applyProtection="1">
      <alignment horizontal="center" vertical="center" wrapText="1" shrinkToFit="1"/>
    </xf>
    <xf numFmtId="0" fontId="6" fillId="3" borderId="6" xfId="0" applyFont="1" applyFill="1" applyBorder="1" applyAlignment="1" applyProtection="1">
      <alignment vertical="center"/>
    </xf>
    <xf numFmtId="0" fontId="0" fillId="3" borderId="28" xfId="0" applyFill="1" applyBorder="1" applyAlignment="1">
      <alignment vertical="center"/>
    </xf>
    <xf numFmtId="164" fontId="6" fillId="4" borderId="6" xfId="1" applyFont="1" applyFill="1" applyBorder="1" applyAlignment="1" applyProtection="1">
      <alignment vertical="center"/>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49" fontId="18" fillId="0" borderId="3"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5" xfId="0" applyNumberFormat="1" applyFont="1" applyFill="1" applyBorder="1" applyAlignment="1" applyProtection="1">
      <alignment horizontal="center" vertical="center"/>
    </xf>
    <xf numFmtId="14" fontId="6" fillId="0" borderId="20"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xf>
    <xf numFmtId="0" fontId="36" fillId="0" borderId="19" xfId="0" applyFont="1" applyBorder="1" applyAlignment="1" applyProtection="1">
      <alignment horizontal="center"/>
      <protection hidden="1"/>
    </xf>
    <xf numFmtId="0" fontId="37" fillId="0" borderId="24" xfId="0" applyFont="1" applyBorder="1" applyAlignment="1" applyProtection="1">
      <alignment horizontal="center"/>
      <protection hidden="1"/>
    </xf>
    <xf numFmtId="0" fontId="14" fillId="0" borderId="10"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3" borderId="6" xfId="0" applyNumberFormat="1" applyFont="1" applyFill="1" applyBorder="1" applyAlignment="1" applyProtection="1">
      <alignment horizontal="center" vertical="center"/>
      <protection locked="0"/>
    </xf>
    <xf numFmtId="0" fontId="1" fillId="3" borderId="16" xfId="0" applyNumberFormat="1" applyFont="1" applyFill="1" applyBorder="1" applyAlignment="1" applyProtection="1">
      <alignment horizontal="center" vertical="center"/>
      <protection locked="0"/>
    </xf>
    <xf numFmtId="0" fontId="1" fillId="3" borderId="29"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49" fontId="1" fillId="3" borderId="29" xfId="0" applyNumberFormat="1" applyFont="1" applyFill="1" applyBorder="1" applyAlignment="1" applyProtection="1">
      <alignment horizontal="left" vertical="center"/>
      <protection locked="0"/>
    </xf>
    <xf numFmtId="49" fontId="1" fillId="3" borderId="6" xfId="0" applyNumberFormat="1" applyFont="1" applyFill="1" applyBorder="1" applyAlignment="1" applyProtection="1">
      <alignment horizontal="center" vertical="center"/>
      <protection locked="0"/>
    </xf>
    <xf numFmtId="49" fontId="1" fillId="3" borderId="29" xfId="0" applyNumberFormat="1" applyFont="1" applyFill="1" applyBorder="1" applyAlignment="1" applyProtection="1">
      <alignment horizontal="center" vertical="center"/>
      <protection locked="0"/>
    </xf>
    <xf numFmtId="49" fontId="1" fillId="3" borderId="28" xfId="0" applyNumberFormat="1" applyFont="1" applyFill="1" applyBorder="1" applyAlignment="1" applyProtection="1">
      <alignment horizontal="left" vertical="center"/>
      <protection locked="0"/>
    </xf>
    <xf numFmtId="0" fontId="0" fillId="0" borderId="22" xfId="0" applyBorder="1" applyProtection="1"/>
    <xf numFmtId="0" fontId="0" fillId="0" borderId="49" xfId="0" applyBorder="1" applyProtection="1"/>
    <xf numFmtId="0" fontId="0" fillId="0" borderId="23" xfId="0" applyBorder="1" applyProtection="1"/>
    <xf numFmtId="0" fontId="0" fillId="0" borderId="1" xfId="0" applyBorder="1" applyProtection="1"/>
    <xf numFmtId="0" fontId="0" fillId="0" borderId="24" xfId="0" applyBorder="1" applyProtection="1"/>
    <xf numFmtId="0" fontId="15" fillId="0" borderId="9" xfId="0" applyFont="1" applyBorder="1" applyAlignment="1">
      <alignment horizontal="center" vertical="center"/>
    </xf>
    <xf numFmtId="164" fontId="6" fillId="0" borderId="9" xfId="1" applyFont="1" applyFill="1" applyBorder="1" applyAlignment="1">
      <alignment horizontal="center" vertical="center"/>
    </xf>
    <xf numFmtId="0" fontId="20" fillId="0" borderId="16" xfId="0" applyFont="1" applyBorder="1" applyAlignment="1" applyProtection="1">
      <alignment vertical="center"/>
      <protection hidden="1"/>
    </xf>
    <xf numFmtId="0" fontId="20" fillId="0" borderId="28" xfId="0" applyFont="1" applyBorder="1" applyAlignment="1" applyProtection="1">
      <alignment vertical="center"/>
      <protection hidden="1"/>
    </xf>
    <xf numFmtId="0" fontId="17" fillId="0" borderId="0" xfId="0" applyFont="1" applyBorder="1" applyAlignment="1" applyProtection="1">
      <alignment horizontal="center"/>
    </xf>
    <xf numFmtId="0" fontId="0" fillId="0" borderId="30" xfId="0" applyBorder="1" applyAlignment="1">
      <alignment horizontal="center"/>
    </xf>
    <xf numFmtId="0" fontId="0" fillId="0" borderId="0" xfId="0" applyBorder="1" applyAlignment="1" applyProtection="1"/>
    <xf numFmtId="0" fontId="0" fillId="0" borderId="1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14" fillId="0" borderId="20" xfId="0" applyFont="1" applyBorder="1" applyAlignment="1" applyProtection="1">
      <alignment vertical="center"/>
    </xf>
    <xf numFmtId="0" fontId="32" fillId="0" borderId="10" xfId="0" applyFont="1" applyBorder="1" applyAlignment="1" applyProtection="1">
      <alignment vertical="center"/>
    </xf>
    <xf numFmtId="0" fontId="32" fillId="0" borderId="23" xfId="0" applyFont="1" applyBorder="1" applyAlignment="1" applyProtection="1">
      <alignment vertical="center"/>
    </xf>
    <xf numFmtId="0" fontId="32" fillId="0" borderId="1" xfId="0" applyFont="1" applyBorder="1" applyAlignment="1" applyProtection="1">
      <alignment vertical="center"/>
    </xf>
    <xf numFmtId="49" fontId="1" fillId="3" borderId="16" xfId="0" applyNumberFormat="1" applyFont="1" applyFill="1" applyBorder="1" applyAlignment="1" applyProtection="1">
      <alignment horizontal="center" vertical="center"/>
      <protection locked="0"/>
    </xf>
    <xf numFmtId="0" fontId="16" fillId="3" borderId="6" xfId="2" applyFill="1" applyBorder="1" applyAlignment="1" applyProtection="1">
      <alignment horizontal="left" vertical="center"/>
      <protection locked="0"/>
    </xf>
    <xf numFmtId="0" fontId="1" fillId="3" borderId="16" xfId="0" applyFont="1" applyFill="1" applyBorder="1" applyAlignment="1" applyProtection="1">
      <alignment horizontal="left" vertical="center"/>
      <protection locked="0"/>
    </xf>
    <xf numFmtId="0" fontId="1" fillId="3" borderId="29" xfId="0" applyFont="1" applyFill="1" applyBorder="1" applyAlignment="1" applyProtection="1">
      <alignment horizontal="left" vertical="center"/>
      <protection locked="0"/>
    </xf>
    <xf numFmtId="49" fontId="6" fillId="0" borderId="21" xfId="0" applyNumberFormat="1" applyFont="1" applyBorder="1" applyAlignment="1" applyProtection="1">
      <alignment horizontal="center" vertical="center" wrapText="1"/>
    </xf>
    <xf numFmtId="49" fontId="6" fillId="0" borderId="22" xfId="0" applyNumberFormat="1" applyFont="1" applyBorder="1" applyAlignment="1" applyProtection="1">
      <alignment horizontal="center" vertical="center" wrapText="1"/>
    </xf>
    <xf numFmtId="49" fontId="6" fillId="0" borderId="3" xfId="0" applyNumberFormat="1" applyFont="1" applyBorder="1" applyAlignment="1" applyProtection="1">
      <alignment horizontal="center" vertical="center" wrapText="1"/>
    </xf>
    <xf numFmtId="49" fontId="6" fillId="0" borderId="0" xfId="0" applyNumberFormat="1" applyFont="1" applyBorder="1" applyAlignment="1" applyProtection="1">
      <alignment horizontal="center" vertical="center" wrapText="1"/>
    </xf>
    <xf numFmtId="49" fontId="1" fillId="3" borderId="7" xfId="0" applyNumberFormat="1" applyFont="1" applyFill="1" applyBorder="1" applyAlignment="1" applyProtection="1">
      <alignment horizontal="left" vertical="center"/>
      <protection locked="0"/>
    </xf>
    <xf numFmtId="49" fontId="1" fillId="3" borderId="25" xfId="0" applyNumberFormat="1" applyFont="1" applyFill="1" applyBorder="1" applyAlignment="1" applyProtection="1">
      <alignment horizontal="left" vertical="center"/>
      <protection locked="0"/>
    </xf>
    <xf numFmtId="49" fontId="1" fillId="3" borderId="26" xfId="0" applyNumberFormat="1" applyFont="1" applyFill="1" applyBorder="1" applyAlignment="1" applyProtection="1">
      <alignment horizontal="left" vertical="center"/>
      <protection locked="0"/>
    </xf>
    <xf numFmtId="49" fontId="1" fillId="3" borderId="28" xfId="0" applyNumberFormat="1" applyFont="1" applyFill="1" applyBorder="1" applyAlignment="1" applyProtection="1">
      <alignment vertical="center"/>
      <protection locked="0"/>
    </xf>
    <xf numFmtId="49" fontId="1" fillId="3" borderId="1" xfId="0" applyNumberFormat="1" applyFont="1" applyFill="1" applyBorder="1" applyAlignment="1" applyProtection="1">
      <alignment horizontal="center" vertical="center" wrapText="1"/>
      <protection locked="0"/>
    </xf>
    <xf numFmtId="168" fontId="1" fillId="3" borderId="1"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49" fontId="1" fillId="3" borderId="28" xfId="0" applyNumberFormat="1" applyFont="1" applyFill="1" applyBorder="1" applyAlignment="1" applyProtection="1">
      <alignment horizontal="center" vertical="center"/>
      <protection locked="0"/>
    </xf>
    <xf numFmtId="0" fontId="35" fillId="4" borderId="6" xfId="1" applyNumberFormat="1" applyFont="1" applyFill="1" applyBorder="1" applyAlignment="1" applyProtection="1">
      <alignment horizontal="center" vertical="center"/>
      <protection hidden="1"/>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0" xfId="0" applyAlignment="1" applyProtection="1">
      <alignment horizontal="center"/>
    </xf>
    <xf numFmtId="0" fontId="23" fillId="4" borderId="0" xfId="0" applyFont="1" applyFill="1" applyBorder="1" applyAlignment="1" applyProtection="1">
      <alignment horizontal="center" vertical="center"/>
    </xf>
    <xf numFmtId="0" fontId="1" fillId="4" borderId="0" xfId="0" applyFont="1" applyFill="1" applyAlignment="1">
      <alignment horizontal="center" vertical="center"/>
    </xf>
    <xf numFmtId="0" fontId="4" fillId="0" borderId="0" xfId="0" applyFont="1" applyBorder="1" applyAlignment="1" applyProtection="1">
      <alignment horizontal="center"/>
    </xf>
    <xf numFmtId="0" fontId="2" fillId="0" borderId="1" xfId="0" applyFont="1" applyBorder="1" applyAlignment="1" applyProtection="1">
      <alignment horizontal="center" vertical="center"/>
    </xf>
    <xf numFmtId="0" fontId="1" fillId="3" borderId="6"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12" fillId="0" borderId="0" xfId="0" applyFont="1" applyAlignment="1" applyProtection="1">
      <alignment horizontal="center" wrapText="1"/>
    </xf>
    <xf numFmtId="0" fontId="6" fillId="0" borderId="16" xfId="0" applyFont="1" applyBorder="1" applyAlignment="1" applyProtection="1">
      <alignment vertical="center"/>
    </xf>
    <xf numFmtId="0" fontId="6" fillId="0" borderId="28" xfId="0" applyFont="1" applyBorder="1" applyAlignment="1" applyProtection="1">
      <alignment vertical="center"/>
    </xf>
    <xf numFmtId="0" fontId="6" fillId="0" borderId="6" xfId="0" applyFont="1" applyBorder="1" applyAlignment="1" applyProtection="1">
      <alignment horizontal="left"/>
    </xf>
    <xf numFmtId="0" fontId="6" fillId="0" borderId="28" xfId="0" applyFont="1" applyBorder="1" applyAlignment="1" applyProtection="1">
      <alignment horizontal="left"/>
    </xf>
    <xf numFmtId="0" fontId="1" fillId="4" borderId="6" xfId="0" applyFont="1" applyFill="1" applyBorder="1" applyAlignment="1" applyProtection="1">
      <alignment horizontal="center"/>
      <protection hidden="1"/>
    </xf>
    <xf numFmtId="0" fontId="1" fillId="4" borderId="28" xfId="0" applyFont="1" applyFill="1" applyBorder="1" applyAlignment="1" applyProtection="1">
      <alignment horizontal="center"/>
      <protection hidden="1"/>
    </xf>
    <xf numFmtId="0" fontId="6" fillId="0" borderId="6" xfId="0" applyFont="1" applyBorder="1" applyAlignment="1" applyProtection="1">
      <alignment horizontal="center"/>
    </xf>
    <xf numFmtId="0" fontId="6" fillId="0" borderId="28" xfId="0" applyFont="1" applyBorder="1" applyAlignment="1" applyProtection="1">
      <alignment horizontal="center"/>
    </xf>
    <xf numFmtId="0" fontId="5" fillId="3" borderId="6"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0" fontId="5" fillId="3" borderId="28" xfId="0" applyFont="1" applyFill="1" applyBorder="1" applyAlignment="1" applyProtection="1">
      <alignment horizontal="center"/>
      <protection locked="0"/>
    </xf>
    <xf numFmtId="0" fontId="6" fillId="0" borderId="16" xfId="0" applyFont="1" applyBorder="1" applyAlignment="1" applyProtection="1">
      <alignment horizontal="center"/>
    </xf>
    <xf numFmtId="0" fontId="6" fillId="0" borderId="16" xfId="0" applyFont="1" applyBorder="1" applyAlignment="1" applyProtection="1">
      <alignment horizontal="left"/>
    </xf>
    <xf numFmtId="0" fontId="1" fillId="4" borderId="6" xfId="0" applyFont="1" applyFill="1" applyBorder="1" applyAlignment="1" applyProtection="1">
      <protection hidden="1"/>
    </xf>
    <xf numFmtId="0" fontId="1" fillId="4" borderId="16" xfId="0" applyFont="1" applyFill="1" applyBorder="1" applyAlignment="1" applyProtection="1">
      <protection hidden="1"/>
    </xf>
    <xf numFmtId="0" fontId="1" fillId="4" borderId="28" xfId="0" applyFont="1" applyFill="1" applyBorder="1" applyAlignment="1" applyProtection="1">
      <protection hidden="1"/>
    </xf>
    <xf numFmtId="0" fontId="1" fillId="4" borderId="6" xfId="0" applyFont="1" applyFill="1" applyBorder="1" applyAlignment="1" applyProtection="1">
      <alignment horizontal="left"/>
      <protection hidden="1"/>
    </xf>
    <xf numFmtId="0" fontId="1" fillId="4" borderId="16" xfId="0" applyFont="1" applyFill="1" applyBorder="1" applyAlignment="1" applyProtection="1">
      <alignment horizontal="left"/>
      <protection hidden="1"/>
    </xf>
    <xf numFmtId="0" fontId="1" fillId="4" borderId="28" xfId="0" applyFont="1" applyFill="1" applyBorder="1" applyAlignment="1" applyProtection="1">
      <alignment horizontal="left"/>
      <protection hidden="1"/>
    </xf>
    <xf numFmtId="0" fontId="1" fillId="3" borderId="6" xfId="0" applyFont="1" applyFill="1" applyBorder="1" applyAlignment="1" applyProtection="1">
      <protection locked="0"/>
    </xf>
    <xf numFmtId="0" fontId="1" fillId="3" borderId="16" xfId="0" applyFont="1" applyFill="1" applyBorder="1" applyAlignment="1" applyProtection="1">
      <protection locked="0"/>
    </xf>
    <xf numFmtId="0" fontId="1" fillId="3" borderId="28" xfId="0" applyFont="1" applyFill="1" applyBorder="1" applyAlignment="1" applyProtection="1">
      <protection locked="0"/>
    </xf>
    <xf numFmtId="0" fontId="1" fillId="4" borderId="6" xfId="0" applyNumberFormat="1" applyFont="1" applyFill="1" applyBorder="1" applyAlignment="1" applyProtection="1">
      <alignment horizontal="center"/>
      <protection hidden="1"/>
    </xf>
    <xf numFmtId="0" fontId="1" fillId="4" borderId="28" xfId="0" applyNumberFormat="1" applyFont="1" applyFill="1" applyBorder="1" applyAlignment="1" applyProtection="1">
      <alignment horizontal="center"/>
      <protection hidden="1"/>
    </xf>
    <xf numFmtId="0" fontId="6" fillId="0" borderId="6" xfId="0" applyFont="1" applyBorder="1" applyAlignment="1" applyProtection="1"/>
    <xf numFmtId="0" fontId="6" fillId="0" borderId="16" xfId="0" applyFont="1" applyBorder="1" applyAlignment="1" applyProtection="1"/>
    <xf numFmtId="0" fontId="6" fillId="0" borderId="28" xfId="0" applyFont="1" applyBorder="1" applyAlignment="1" applyProtection="1"/>
    <xf numFmtId="0" fontId="5" fillId="4" borderId="6" xfId="0" applyNumberFormat="1" applyFont="1" applyFill="1" applyBorder="1" applyAlignment="1" applyProtection="1">
      <alignment horizontal="center"/>
      <protection hidden="1"/>
    </xf>
    <xf numFmtId="0" fontId="5" fillId="4" borderId="16" xfId="0" applyNumberFormat="1" applyFont="1" applyFill="1" applyBorder="1" applyAlignment="1" applyProtection="1">
      <alignment horizontal="center"/>
      <protection hidden="1"/>
    </xf>
    <xf numFmtId="0" fontId="5" fillId="4" borderId="28" xfId="0" applyNumberFormat="1" applyFont="1" applyFill="1" applyBorder="1" applyAlignment="1" applyProtection="1">
      <alignment horizontal="center"/>
      <protection hidden="1"/>
    </xf>
    <xf numFmtId="0" fontId="6" fillId="0" borderId="6" xfId="0" applyFont="1" applyFill="1" applyBorder="1" applyAlignment="1" applyProtection="1">
      <alignment horizontal="center"/>
    </xf>
    <xf numFmtId="0" fontId="6" fillId="0" borderId="28" xfId="0" applyFont="1" applyFill="1" applyBorder="1" applyAlignment="1" applyProtection="1">
      <alignment horizontal="center"/>
    </xf>
    <xf numFmtId="0" fontId="1" fillId="4" borderId="16" xfId="0" applyFont="1" applyFill="1" applyBorder="1" applyAlignment="1" applyProtection="1">
      <alignment horizontal="center"/>
      <protection hidden="1"/>
    </xf>
    <xf numFmtId="164" fontId="6" fillId="0" borderId="0" xfId="1" applyFont="1" applyBorder="1" applyAlignment="1" applyProtection="1">
      <alignment horizontal="center" vertical="center"/>
    </xf>
    <xf numFmtId="0" fontId="5" fillId="4" borderId="6" xfId="0" applyNumberFormat="1" applyFont="1" applyFill="1" applyBorder="1" applyAlignment="1" applyProtection="1">
      <protection hidden="1"/>
    </xf>
    <xf numFmtId="0" fontId="5" fillId="4" borderId="16" xfId="0" applyNumberFormat="1" applyFont="1" applyFill="1" applyBorder="1" applyAlignment="1" applyProtection="1">
      <protection hidden="1"/>
    </xf>
    <xf numFmtId="0" fontId="5" fillId="4" borderId="28" xfId="0" applyNumberFormat="1" applyFont="1" applyFill="1" applyBorder="1" applyAlignment="1" applyProtection="1">
      <protection hidden="1"/>
    </xf>
    <xf numFmtId="0" fontId="5" fillId="4" borderId="6" xfId="0" applyFont="1" applyFill="1" applyBorder="1" applyAlignment="1" applyProtection="1">
      <protection hidden="1"/>
    </xf>
    <xf numFmtId="0" fontId="5" fillId="4" borderId="16" xfId="0" applyFont="1" applyFill="1" applyBorder="1" applyAlignment="1" applyProtection="1">
      <protection hidden="1"/>
    </xf>
    <xf numFmtId="0" fontId="5" fillId="4" borderId="28" xfId="0" applyFont="1" applyFill="1" applyBorder="1" applyAlignment="1" applyProtection="1">
      <protection hidden="1"/>
    </xf>
    <xf numFmtId="0" fontId="1" fillId="3" borderId="16" xfId="0" applyFont="1" applyFill="1" applyBorder="1" applyAlignment="1" applyProtection="1">
      <alignment horizontal="center"/>
      <protection locked="0"/>
    </xf>
    <xf numFmtId="167" fontId="1" fillId="3" borderId="6" xfId="0" applyNumberFormat="1" applyFont="1" applyFill="1" applyBorder="1" applyAlignment="1" applyProtection="1">
      <alignment horizontal="center"/>
      <protection locked="0"/>
    </xf>
    <xf numFmtId="167" fontId="1" fillId="3" borderId="28" xfId="0" applyNumberFormat="1" applyFont="1" applyFill="1" applyBorder="1" applyAlignment="1" applyProtection="1">
      <alignment horizontal="center"/>
      <protection locked="0"/>
    </xf>
    <xf numFmtId="1" fontId="1" fillId="3" borderId="6" xfId="0" applyNumberFormat="1" applyFont="1" applyFill="1" applyBorder="1" applyAlignment="1" applyProtection="1">
      <alignment horizontal="center"/>
      <protection locked="0"/>
    </xf>
    <xf numFmtId="1" fontId="1" fillId="3" borderId="28" xfId="0" applyNumberFormat="1" applyFont="1" applyFill="1" applyBorder="1" applyAlignment="1" applyProtection="1">
      <alignment horizontal="center"/>
      <protection locked="0"/>
    </xf>
    <xf numFmtId="1" fontId="1" fillId="4" borderId="6" xfId="0" applyNumberFormat="1" applyFont="1" applyFill="1" applyBorder="1" applyAlignment="1" applyProtection="1">
      <alignment horizontal="center"/>
      <protection hidden="1"/>
    </xf>
    <xf numFmtId="0" fontId="1" fillId="3" borderId="6"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xf numFmtId="17" fontId="1" fillId="3" borderId="6" xfId="0" applyNumberFormat="1" applyFont="1" applyFill="1" applyBorder="1" applyAlignment="1" applyProtection="1">
      <alignment horizontal="center"/>
      <protection locked="0"/>
    </xf>
    <xf numFmtId="17" fontId="1" fillId="3" borderId="28" xfId="0" applyNumberFormat="1"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16" xfId="0" applyFont="1" applyFill="1" applyBorder="1" applyAlignment="1" applyProtection="1">
      <alignment horizontal="center"/>
      <protection locked="0"/>
    </xf>
    <xf numFmtId="0" fontId="6" fillId="3" borderId="28" xfId="0" applyFont="1" applyFill="1" applyBorder="1" applyAlignment="1" applyProtection="1">
      <alignment horizontal="center"/>
      <protection locked="0"/>
    </xf>
    <xf numFmtId="0" fontId="40" fillId="0" borderId="53" xfId="0" applyFont="1" applyBorder="1" applyAlignment="1" applyProtection="1">
      <alignment vertical="center"/>
    </xf>
    <xf numFmtId="0" fontId="2" fillId="0" borderId="10" xfId="0" applyFont="1" applyBorder="1" applyAlignment="1" applyProtection="1">
      <alignment vertical="center"/>
    </xf>
    <xf numFmtId="0" fontId="2" fillId="0" borderId="54" xfId="0" applyFont="1" applyBorder="1" applyAlignment="1" applyProtection="1">
      <alignment vertical="center"/>
    </xf>
    <xf numFmtId="0" fontId="2" fillId="0" borderId="18" xfId="0" applyFont="1" applyBorder="1" applyAlignment="1" applyProtection="1">
      <alignment vertical="center"/>
    </xf>
    <xf numFmtId="0" fontId="2" fillId="0" borderId="1" xfId="0" applyFont="1" applyBorder="1" applyAlignment="1" applyProtection="1">
      <alignment vertical="center"/>
    </xf>
    <xf numFmtId="0" fontId="2" fillId="0" borderId="17" xfId="0" applyFont="1" applyBorder="1" applyAlignment="1" applyProtection="1">
      <alignment vertical="center"/>
    </xf>
    <xf numFmtId="0" fontId="6" fillId="0" borderId="22" xfId="0" applyFont="1" applyBorder="1" applyAlignment="1" applyProtection="1">
      <alignment horizontal="center"/>
    </xf>
    <xf numFmtId="0" fontId="5" fillId="3" borderId="4" xfId="0" applyFont="1" applyFill="1" applyBorder="1" applyAlignment="1" applyProtection="1">
      <alignment horizontal="center" vertical="center"/>
      <protection locked="0"/>
    </xf>
    <xf numFmtId="0" fontId="1" fillId="0" borderId="11" xfId="0" applyFont="1" applyBorder="1" applyAlignment="1" applyProtection="1">
      <protection locked="0"/>
    </xf>
    <xf numFmtId="0" fontId="4" fillId="4" borderId="51" xfId="0" applyFont="1" applyFill="1" applyBorder="1" applyAlignment="1" applyProtection="1">
      <alignment horizontal="center" wrapText="1"/>
      <protection hidden="1"/>
    </xf>
    <xf numFmtId="0" fontId="6" fillId="0" borderId="22" xfId="0" applyFont="1" applyBorder="1" applyAlignment="1" applyProtection="1">
      <alignment horizontal="center" wrapText="1"/>
      <protection hidden="1"/>
    </xf>
    <xf numFmtId="0" fontId="6" fillId="0" borderId="52" xfId="0" applyFont="1" applyBorder="1" applyAlignment="1" applyProtection="1">
      <alignment horizontal="center" wrapText="1"/>
      <protection hidden="1"/>
    </xf>
    <xf numFmtId="0" fontId="6" fillId="0" borderId="0" xfId="0" applyFont="1" applyBorder="1" applyAlignment="1" applyProtection="1">
      <alignment horizontal="center"/>
    </xf>
    <xf numFmtId="0" fontId="6" fillId="0" borderId="30" xfId="0" applyFont="1" applyBorder="1" applyAlignment="1" applyProtection="1">
      <alignment horizontal="center"/>
    </xf>
    <xf numFmtId="0" fontId="4" fillId="4" borderId="18"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0" fillId="0" borderId="50" xfId="0" applyBorder="1" applyAlignment="1" applyProtection="1">
      <alignment horizontal="center"/>
    </xf>
    <xf numFmtId="0" fontId="2" fillId="0" borderId="53" xfId="0" applyFont="1" applyBorder="1" applyAlignment="1" applyProtection="1">
      <alignment horizontal="center"/>
    </xf>
    <xf numFmtId="0" fontId="2" fillId="0" borderId="10" xfId="0" applyFont="1" applyBorder="1" applyAlignment="1" applyProtection="1">
      <alignment horizontal="center"/>
    </xf>
    <xf numFmtId="0" fontId="2" fillId="0" borderId="54" xfId="0" applyFont="1" applyBorder="1" applyAlignment="1" applyProtection="1">
      <alignment horizontal="center"/>
    </xf>
    <xf numFmtId="0" fontId="1" fillId="3" borderId="18" xfId="0" applyFont="1" applyFill="1" applyBorder="1" applyAlignment="1" applyProtection="1">
      <alignment horizontal="left"/>
      <protection locked="0"/>
    </xf>
    <xf numFmtId="0" fontId="1" fillId="3" borderId="1" xfId="0" applyFont="1" applyFill="1" applyBorder="1" applyAlignment="1" applyProtection="1">
      <alignment horizontal="left"/>
      <protection locked="0"/>
    </xf>
    <xf numFmtId="0" fontId="1" fillId="3" borderId="17" xfId="0" applyFont="1" applyFill="1" applyBorder="1" applyAlignment="1" applyProtection="1">
      <alignment horizontal="left"/>
      <protection locked="0"/>
    </xf>
    <xf numFmtId="0" fontId="6" fillId="0" borderId="50" xfId="0" applyFont="1" applyBorder="1" applyAlignment="1" applyProtection="1">
      <alignment horizontal="center" wrapText="1"/>
    </xf>
    <xf numFmtId="0" fontId="0" fillId="0" borderId="0" xfId="0" applyAlignment="1">
      <alignment horizontal="center" wrapText="1"/>
    </xf>
    <xf numFmtId="0" fontId="0" fillId="0" borderId="30" xfId="0" applyBorder="1" applyAlignment="1">
      <alignment horizontal="center" wrapText="1"/>
    </xf>
    <xf numFmtId="0" fontId="6" fillId="0" borderId="18" xfId="0" applyFont="1" applyBorder="1" applyAlignment="1" applyProtection="1">
      <alignment horizontal="center" vertical="top" wrapText="1"/>
    </xf>
    <xf numFmtId="0" fontId="0" fillId="0" borderId="1" xfId="0" applyBorder="1" applyAlignment="1">
      <alignment horizontal="center" vertical="top" wrapText="1"/>
    </xf>
    <xf numFmtId="0" fontId="0" fillId="0" borderId="17" xfId="0" applyBorder="1" applyAlignment="1">
      <alignment horizontal="center" vertical="top" wrapText="1"/>
    </xf>
    <xf numFmtId="0" fontId="1" fillId="3" borderId="51" xfId="0" applyFont="1" applyFill="1" applyBorder="1" applyAlignment="1" applyProtection="1">
      <alignment horizontal="center"/>
      <protection locked="0"/>
    </xf>
    <xf numFmtId="0" fontId="1" fillId="3" borderId="52" xfId="0" applyFont="1" applyFill="1" applyBorder="1" applyAlignment="1" applyProtection="1">
      <alignment horizontal="center"/>
      <protection locked="0"/>
    </xf>
    <xf numFmtId="0" fontId="6" fillId="0" borderId="51" xfId="0" applyFont="1" applyBorder="1" applyAlignment="1" applyProtection="1">
      <alignment horizontal="center"/>
    </xf>
    <xf numFmtId="0" fontId="6" fillId="0" borderId="52" xfId="0" applyFont="1" applyBorder="1" applyAlignment="1" applyProtection="1">
      <alignment horizontal="center"/>
    </xf>
    <xf numFmtId="0" fontId="6" fillId="3" borderId="51" xfId="0" applyFont="1" applyFill="1" applyBorder="1" applyAlignment="1" applyProtection="1">
      <alignment horizontal="center"/>
      <protection locked="0"/>
    </xf>
    <xf numFmtId="0" fontId="6" fillId="3" borderId="22" xfId="0" applyFont="1" applyFill="1" applyBorder="1" applyAlignment="1" applyProtection="1">
      <alignment horizontal="center"/>
      <protection locked="0"/>
    </xf>
    <xf numFmtId="0" fontId="6" fillId="3" borderId="52" xfId="0" applyFont="1" applyFill="1" applyBorder="1" applyAlignment="1" applyProtection="1">
      <alignment horizontal="center"/>
      <protection locked="0"/>
    </xf>
    <xf numFmtId="0" fontId="2" fillId="0" borderId="5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1" fillId="3" borderId="53" xfId="0" applyFont="1" applyFill="1" applyBorder="1" applyAlignment="1" applyProtection="1">
      <alignment horizontal="center" vertical="top" wrapText="1"/>
      <protection locked="0"/>
    </xf>
    <xf numFmtId="0" fontId="1" fillId="3" borderId="10" xfId="0" applyFont="1" applyFill="1" applyBorder="1" applyAlignment="1" applyProtection="1">
      <alignment horizontal="center" vertical="top" wrapText="1"/>
      <protection locked="0"/>
    </xf>
    <xf numFmtId="0" fontId="1" fillId="3" borderId="54" xfId="0" applyFont="1" applyFill="1" applyBorder="1" applyAlignment="1" applyProtection="1">
      <alignment horizontal="center" vertical="top" wrapText="1"/>
      <protection locked="0"/>
    </xf>
    <xf numFmtId="0" fontId="1" fillId="3" borderId="50"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0" xfId="0" applyFont="1" applyFill="1" applyBorder="1" applyAlignment="1" applyProtection="1">
      <alignment horizontal="center" vertical="top" wrapText="1"/>
      <protection locked="0"/>
    </xf>
    <xf numFmtId="0" fontId="1" fillId="3" borderId="55"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1" fillId="3" borderId="56" xfId="0" applyFont="1" applyFill="1" applyBorder="1" applyAlignment="1" applyProtection="1">
      <alignment horizontal="center" vertical="top" wrapText="1"/>
      <protection locked="0"/>
    </xf>
    <xf numFmtId="0" fontId="6" fillId="0" borderId="5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4" fillId="0" borderId="1" xfId="0" applyFont="1" applyBorder="1" applyAlignment="1" applyProtection="1">
      <alignment horizontal="center"/>
    </xf>
    <xf numFmtId="0" fontId="0" fillId="4" borderId="28" xfId="0" applyFill="1" applyBorder="1" applyAlignment="1" applyProtection="1">
      <alignment horizontal="center"/>
      <protection hidden="1"/>
    </xf>
    <xf numFmtId="0" fontId="2" fillId="0" borderId="53" xfId="0" applyFont="1" applyBorder="1" applyAlignment="1" applyProtection="1">
      <alignment vertical="center"/>
    </xf>
    <xf numFmtId="1" fontId="1" fillId="4" borderId="28" xfId="0" applyNumberFormat="1" applyFont="1" applyFill="1" applyBorder="1" applyAlignment="1" applyProtection="1">
      <alignment horizontal="center"/>
      <protection hidden="1"/>
    </xf>
    <xf numFmtId="0" fontId="4" fillId="4" borderId="22" xfId="0" applyFont="1" applyFill="1" applyBorder="1" applyAlignment="1" applyProtection="1">
      <alignment horizontal="center" wrapText="1"/>
      <protection hidden="1"/>
    </xf>
    <xf numFmtId="0" fontId="4" fillId="4" borderId="52" xfId="0" applyFont="1" applyFill="1" applyBorder="1" applyAlignment="1" applyProtection="1">
      <alignment horizontal="center" wrapText="1"/>
      <protection hidden="1"/>
    </xf>
    <xf numFmtId="0" fontId="4" fillId="4" borderId="1"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hidden="1"/>
    </xf>
    <xf numFmtId="0" fontId="1" fillId="3" borderId="31" xfId="0" applyFont="1" applyFill="1" applyBorder="1" applyAlignment="1" applyProtection="1">
      <alignment horizontal="left"/>
      <protection locked="0"/>
    </xf>
    <xf numFmtId="0" fontId="1" fillId="3" borderId="32" xfId="0" applyFont="1" applyFill="1" applyBorder="1" applyAlignment="1" applyProtection="1">
      <alignment horizontal="left"/>
      <protection locked="0"/>
    </xf>
    <xf numFmtId="0" fontId="1" fillId="3" borderId="33" xfId="0" applyFont="1" applyFill="1" applyBorder="1" applyAlignment="1" applyProtection="1">
      <alignment horizontal="left"/>
      <protection locked="0"/>
    </xf>
    <xf numFmtId="0" fontId="6" fillId="0" borderId="0" xfId="0" applyFont="1" applyBorder="1" applyAlignment="1" applyProtection="1">
      <alignment horizontal="center" wrapText="1"/>
    </xf>
    <xf numFmtId="0" fontId="6" fillId="0" borderId="30" xfId="0" applyFont="1" applyBorder="1" applyAlignment="1" applyProtection="1">
      <alignment horizontal="center" wrapText="1"/>
    </xf>
    <xf numFmtId="0" fontId="6" fillId="0" borderId="1" xfId="0" applyFont="1" applyBorder="1" applyAlignment="1" applyProtection="1">
      <alignment horizontal="center" vertical="top" wrapText="1"/>
    </xf>
    <xf numFmtId="0" fontId="6" fillId="0" borderId="17" xfId="0" applyFont="1" applyBorder="1" applyAlignment="1" applyProtection="1">
      <alignment horizontal="center" vertical="top" wrapText="1"/>
    </xf>
    <xf numFmtId="0" fontId="1" fillId="3" borderId="7" xfId="0" applyFont="1" applyFill="1" applyBorder="1" applyAlignment="1" applyProtection="1">
      <alignment horizontal="center"/>
      <protection locked="0"/>
    </xf>
    <xf numFmtId="0" fontId="1" fillId="3" borderId="46" xfId="0" applyFont="1" applyFill="1" applyBorder="1" applyAlignment="1" applyProtection="1">
      <alignment horizontal="center"/>
      <protection locked="0"/>
    </xf>
    <xf numFmtId="0" fontId="6" fillId="0" borderId="7" xfId="0" applyFont="1" applyBorder="1" applyAlignment="1" applyProtection="1">
      <alignment horizontal="center"/>
    </xf>
    <xf numFmtId="0" fontId="6" fillId="0" borderId="46" xfId="0" applyFont="1" applyBorder="1" applyAlignment="1" applyProtection="1">
      <alignment horizontal="center"/>
    </xf>
    <xf numFmtId="0" fontId="6" fillId="3" borderId="7" xfId="0" applyFont="1" applyFill="1" applyBorder="1" applyAlignment="1" applyProtection="1">
      <alignment horizontal="center"/>
      <protection locked="0"/>
    </xf>
    <xf numFmtId="0" fontId="6" fillId="3" borderId="25" xfId="0" applyFont="1" applyFill="1" applyBorder="1" applyAlignment="1" applyProtection="1">
      <alignment horizontal="center"/>
      <protection locked="0"/>
    </xf>
    <xf numFmtId="0" fontId="6" fillId="3" borderId="46" xfId="0" applyFont="1" applyFill="1" applyBorder="1" applyAlignment="1" applyProtection="1">
      <alignment horizontal="center"/>
      <protection locked="0"/>
    </xf>
    <xf numFmtId="0" fontId="1" fillId="3" borderId="7"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3" borderId="46" xfId="0" applyFont="1" applyFill="1" applyBorder="1" applyAlignment="1" applyProtection="1">
      <alignment horizontal="left"/>
      <protection locked="0"/>
    </xf>
    <xf numFmtId="0" fontId="22" fillId="0" borderId="51" xfId="0" applyFont="1" applyBorder="1" applyAlignment="1" applyProtection="1">
      <alignment horizontal="center" vertical="center"/>
      <protection hidden="1"/>
    </xf>
    <xf numFmtId="0" fontId="22" fillId="0" borderId="22" xfId="0" applyFont="1" applyBorder="1" applyAlignment="1">
      <alignment vertical="center"/>
    </xf>
    <xf numFmtId="0" fontId="22" fillId="0" borderId="52" xfId="0" applyFont="1" applyBorder="1" applyAlignment="1">
      <alignment vertical="center"/>
    </xf>
    <xf numFmtId="0" fontId="22" fillId="0" borderId="50" xfId="0" applyFont="1" applyBorder="1" applyAlignment="1">
      <alignment vertical="center"/>
    </xf>
    <xf numFmtId="0" fontId="22" fillId="0" borderId="0" xfId="0" applyFont="1" applyBorder="1" applyAlignment="1">
      <alignment vertical="center"/>
    </xf>
    <xf numFmtId="0" fontId="22" fillId="0" borderId="30" xfId="0" applyFont="1" applyBorder="1" applyAlignment="1">
      <alignment vertical="center"/>
    </xf>
    <xf numFmtId="0" fontId="5" fillId="6" borderId="0" xfId="0" applyFont="1" applyFill="1" applyAlignment="1">
      <alignment horizontal="center"/>
    </xf>
    <xf numFmtId="0" fontId="20" fillId="6" borderId="0" xfId="0" applyFont="1" applyFill="1" applyAlignment="1">
      <alignment horizontal="center"/>
    </xf>
  </cellXfs>
  <cellStyles count="8">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s>
  <dxfs count="13">
    <dxf>
      <font>
        <b val="0"/>
        <i val="0"/>
        <condense val="0"/>
        <extend val="0"/>
        <color indexed="8"/>
      </font>
    </dxf>
    <dxf>
      <font>
        <b/>
        <i val="0"/>
        <condense val="0"/>
        <extend val="0"/>
        <color indexed="11"/>
      </font>
    </dxf>
    <dxf>
      <font>
        <b val="0"/>
        <i val="0"/>
        <condense val="0"/>
        <extend val="0"/>
        <color indexed="11"/>
      </font>
    </dxf>
    <dxf>
      <font>
        <b val="0"/>
        <i val="0"/>
        <condense val="0"/>
        <extend val="0"/>
        <color indexed="8"/>
      </font>
    </dxf>
    <dxf>
      <font>
        <b/>
        <i val="0"/>
        <condense val="0"/>
        <extend val="0"/>
        <color indexed="8"/>
      </font>
    </dxf>
    <dxf>
      <font>
        <condense val="0"/>
        <extend val="0"/>
        <color indexed="10"/>
      </font>
    </dxf>
    <dxf>
      <font>
        <b/>
        <i val="0"/>
        <condense val="0"/>
        <extend val="0"/>
        <color indexed="11"/>
      </font>
    </dxf>
    <dxf>
      <font>
        <b/>
        <i val="0"/>
        <condense val="0"/>
        <extend val="0"/>
        <color indexed="11"/>
      </font>
    </dxf>
    <dxf>
      <font>
        <b/>
        <i val="0"/>
        <condense val="0"/>
        <extend val="0"/>
        <color indexed="11"/>
      </font>
    </dxf>
    <dxf>
      <font>
        <b/>
        <i val="0"/>
        <condense val="0"/>
        <extend val="0"/>
        <color indexed="11"/>
      </font>
    </dxf>
    <dxf>
      <font>
        <b/>
        <i val="0"/>
        <condense val="0"/>
        <extend val="0"/>
        <color indexed="8"/>
      </font>
    </dxf>
    <dxf>
      <font>
        <b/>
        <i val="0"/>
        <condense val="0"/>
        <extend val="0"/>
        <color indexed="11"/>
      </font>
    </dxf>
    <dxf>
      <font>
        <b/>
        <i val="0"/>
        <condense val="0"/>
        <extend val="0"/>
        <color indexed="11"/>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131</xdr:row>
      <xdr:rowOff>0</xdr:rowOff>
    </xdr:from>
    <xdr:to>
      <xdr:col>4</xdr:col>
      <xdr:colOff>0</xdr:colOff>
      <xdr:row>137</xdr:row>
      <xdr:rowOff>0</xdr:rowOff>
    </xdr:to>
    <xdr:pic>
      <xdr:nvPicPr>
        <xdr:cNvPr id="4821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1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1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2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2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2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2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2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2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2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2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2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2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3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3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3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3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3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3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3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3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3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3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4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4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4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4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4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4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4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4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4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4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5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5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5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5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5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5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5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5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5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5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6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6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6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6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6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6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6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6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6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6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7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7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7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7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7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7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7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7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7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7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8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8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8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8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8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8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8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8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8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8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9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9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9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29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9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9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9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9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29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29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0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30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0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0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30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0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30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0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30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0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31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1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31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1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131</xdr:row>
      <xdr:rowOff>0</xdr:rowOff>
    </xdr:from>
    <xdr:to>
      <xdr:col>4</xdr:col>
      <xdr:colOff>0</xdr:colOff>
      <xdr:row>137</xdr:row>
      <xdr:rowOff>0</xdr:rowOff>
    </xdr:to>
    <xdr:pic>
      <xdr:nvPicPr>
        <xdr:cNvPr id="4831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4</xdr:col>
      <xdr:colOff>0</xdr:colOff>
      <xdr:row>9</xdr:row>
      <xdr:rowOff>0</xdr:rowOff>
    </xdr:to>
    <xdr:pic>
      <xdr:nvPicPr>
        <xdr:cNvPr id="4831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4</xdr:col>
      <xdr:colOff>0</xdr:colOff>
      <xdr:row>74</xdr:row>
      <xdr:rowOff>0</xdr:rowOff>
    </xdr:to>
    <xdr:pic>
      <xdr:nvPicPr>
        <xdr:cNvPr id="4831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93300"/>
          <a:ext cx="142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406400</xdr:colOff>
      <xdr:row>1</xdr:row>
      <xdr:rowOff>50800</xdr:rowOff>
    </xdr:from>
    <xdr:to>
      <xdr:col>16</xdr:col>
      <xdr:colOff>12700</xdr:colOff>
      <xdr:row>6</xdr:row>
      <xdr:rowOff>0</xdr:rowOff>
    </xdr:to>
    <xdr:pic>
      <xdr:nvPicPr>
        <xdr:cNvPr id="4773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03200"/>
          <a:ext cx="17653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281</xdr:row>
      <xdr:rowOff>50800</xdr:rowOff>
    </xdr:from>
    <xdr:to>
      <xdr:col>16</xdr:col>
      <xdr:colOff>12700</xdr:colOff>
      <xdr:row>285</xdr:row>
      <xdr:rowOff>114300</xdr:rowOff>
    </xdr:to>
    <xdr:pic>
      <xdr:nvPicPr>
        <xdr:cNvPr id="4773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434848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421</xdr:row>
      <xdr:rowOff>50800</xdr:rowOff>
    </xdr:from>
    <xdr:to>
      <xdr:col>16</xdr:col>
      <xdr:colOff>12700</xdr:colOff>
      <xdr:row>425</xdr:row>
      <xdr:rowOff>114300</xdr:rowOff>
    </xdr:to>
    <xdr:pic>
      <xdr:nvPicPr>
        <xdr:cNvPr id="4773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651256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806</xdr:row>
      <xdr:rowOff>50800</xdr:rowOff>
    </xdr:from>
    <xdr:to>
      <xdr:col>16</xdr:col>
      <xdr:colOff>12700</xdr:colOff>
      <xdr:row>810</xdr:row>
      <xdr:rowOff>114300</xdr:rowOff>
    </xdr:to>
    <xdr:pic>
      <xdr:nvPicPr>
        <xdr:cNvPr id="4773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246378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1751</xdr:row>
      <xdr:rowOff>50800</xdr:rowOff>
    </xdr:from>
    <xdr:to>
      <xdr:col>16</xdr:col>
      <xdr:colOff>12700</xdr:colOff>
      <xdr:row>1755</xdr:row>
      <xdr:rowOff>76200</xdr:rowOff>
    </xdr:to>
    <xdr:pic>
      <xdr:nvPicPr>
        <xdr:cNvPr id="4773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707132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1996</xdr:row>
      <xdr:rowOff>50800</xdr:rowOff>
    </xdr:from>
    <xdr:to>
      <xdr:col>16</xdr:col>
      <xdr:colOff>12700</xdr:colOff>
      <xdr:row>2000</xdr:row>
      <xdr:rowOff>76200</xdr:rowOff>
    </xdr:to>
    <xdr:pic>
      <xdr:nvPicPr>
        <xdr:cNvPr id="4773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085846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526</xdr:row>
      <xdr:rowOff>50800</xdr:rowOff>
    </xdr:from>
    <xdr:to>
      <xdr:col>16</xdr:col>
      <xdr:colOff>12700</xdr:colOff>
      <xdr:row>530</xdr:row>
      <xdr:rowOff>114300</xdr:rowOff>
    </xdr:to>
    <xdr:pic>
      <xdr:nvPicPr>
        <xdr:cNvPr id="4773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813562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1541</xdr:row>
      <xdr:rowOff>50800</xdr:rowOff>
    </xdr:from>
    <xdr:to>
      <xdr:col>16</xdr:col>
      <xdr:colOff>12700</xdr:colOff>
      <xdr:row>1545</xdr:row>
      <xdr:rowOff>76200</xdr:rowOff>
    </xdr:to>
    <xdr:pic>
      <xdr:nvPicPr>
        <xdr:cNvPr id="4773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382520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1891</xdr:row>
      <xdr:rowOff>50800</xdr:rowOff>
    </xdr:from>
    <xdr:to>
      <xdr:col>16</xdr:col>
      <xdr:colOff>12700</xdr:colOff>
      <xdr:row>1895</xdr:row>
      <xdr:rowOff>76200</xdr:rowOff>
    </xdr:to>
    <xdr:pic>
      <xdr:nvPicPr>
        <xdr:cNvPr id="4774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923540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1121</xdr:row>
      <xdr:rowOff>50800</xdr:rowOff>
    </xdr:from>
    <xdr:to>
      <xdr:col>16</xdr:col>
      <xdr:colOff>12700</xdr:colOff>
      <xdr:row>1125</xdr:row>
      <xdr:rowOff>76200</xdr:rowOff>
    </xdr:to>
    <xdr:pic>
      <xdr:nvPicPr>
        <xdr:cNvPr id="4774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733296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141</xdr:row>
      <xdr:rowOff>50800</xdr:rowOff>
    </xdr:from>
    <xdr:to>
      <xdr:col>16</xdr:col>
      <xdr:colOff>12700</xdr:colOff>
      <xdr:row>145</xdr:row>
      <xdr:rowOff>114300</xdr:rowOff>
    </xdr:to>
    <xdr:pic>
      <xdr:nvPicPr>
        <xdr:cNvPr id="4774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18440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1156</xdr:row>
      <xdr:rowOff>50800</xdr:rowOff>
    </xdr:from>
    <xdr:to>
      <xdr:col>16</xdr:col>
      <xdr:colOff>12700</xdr:colOff>
      <xdr:row>1160</xdr:row>
      <xdr:rowOff>76200</xdr:rowOff>
    </xdr:to>
    <xdr:pic>
      <xdr:nvPicPr>
        <xdr:cNvPr id="4774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787398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1226</xdr:row>
      <xdr:rowOff>50800</xdr:rowOff>
    </xdr:from>
    <xdr:to>
      <xdr:col>16</xdr:col>
      <xdr:colOff>12700</xdr:colOff>
      <xdr:row>1230</xdr:row>
      <xdr:rowOff>76200</xdr:rowOff>
    </xdr:to>
    <xdr:pic>
      <xdr:nvPicPr>
        <xdr:cNvPr id="4774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895602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1786</xdr:row>
      <xdr:rowOff>50800</xdr:rowOff>
    </xdr:from>
    <xdr:to>
      <xdr:col>16</xdr:col>
      <xdr:colOff>12700</xdr:colOff>
      <xdr:row>1790</xdr:row>
      <xdr:rowOff>76200</xdr:rowOff>
    </xdr:to>
    <xdr:pic>
      <xdr:nvPicPr>
        <xdr:cNvPr id="4774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761234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106</xdr:row>
      <xdr:rowOff>50800</xdr:rowOff>
    </xdr:from>
    <xdr:to>
      <xdr:col>16</xdr:col>
      <xdr:colOff>12700</xdr:colOff>
      <xdr:row>110</xdr:row>
      <xdr:rowOff>114300</xdr:rowOff>
    </xdr:to>
    <xdr:pic>
      <xdr:nvPicPr>
        <xdr:cNvPr id="4774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64338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456</xdr:row>
      <xdr:rowOff>50800</xdr:rowOff>
    </xdr:from>
    <xdr:to>
      <xdr:col>16</xdr:col>
      <xdr:colOff>12700</xdr:colOff>
      <xdr:row>460</xdr:row>
      <xdr:rowOff>114300</xdr:rowOff>
    </xdr:to>
    <xdr:pic>
      <xdr:nvPicPr>
        <xdr:cNvPr id="4774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705358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596</xdr:row>
      <xdr:rowOff>50800</xdr:rowOff>
    </xdr:from>
    <xdr:to>
      <xdr:col>16</xdr:col>
      <xdr:colOff>12700</xdr:colOff>
      <xdr:row>600</xdr:row>
      <xdr:rowOff>114300</xdr:rowOff>
    </xdr:to>
    <xdr:pic>
      <xdr:nvPicPr>
        <xdr:cNvPr id="4774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921766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946</xdr:row>
      <xdr:rowOff>50800</xdr:rowOff>
    </xdr:from>
    <xdr:to>
      <xdr:col>16</xdr:col>
      <xdr:colOff>12700</xdr:colOff>
      <xdr:row>950</xdr:row>
      <xdr:rowOff>114300</xdr:rowOff>
    </xdr:to>
    <xdr:pic>
      <xdr:nvPicPr>
        <xdr:cNvPr id="4774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462786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1401</xdr:row>
      <xdr:rowOff>50800</xdr:rowOff>
    </xdr:from>
    <xdr:to>
      <xdr:col>16</xdr:col>
      <xdr:colOff>12700</xdr:colOff>
      <xdr:row>1405</xdr:row>
      <xdr:rowOff>76200</xdr:rowOff>
    </xdr:to>
    <xdr:pic>
      <xdr:nvPicPr>
        <xdr:cNvPr id="4775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166112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246</xdr:row>
      <xdr:rowOff>50800</xdr:rowOff>
    </xdr:from>
    <xdr:to>
      <xdr:col>16</xdr:col>
      <xdr:colOff>12700</xdr:colOff>
      <xdr:row>250</xdr:row>
      <xdr:rowOff>114300</xdr:rowOff>
    </xdr:to>
    <xdr:pic>
      <xdr:nvPicPr>
        <xdr:cNvPr id="4775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80746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316</xdr:row>
      <xdr:rowOff>50800</xdr:rowOff>
    </xdr:from>
    <xdr:to>
      <xdr:col>16</xdr:col>
      <xdr:colOff>12700</xdr:colOff>
      <xdr:row>320</xdr:row>
      <xdr:rowOff>114300</xdr:rowOff>
    </xdr:to>
    <xdr:pic>
      <xdr:nvPicPr>
        <xdr:cNvPr id="4775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488950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1331</xdr:row>
      <xdr:rowOff>50800</xdr:rowOff>
    </xdr:from>
    <xdr:to>
      <xdr:col>16</xdr:col>
      <xdr:colOff>12700</xdr:colOff>
      <xdr:row>1335</xdr:row>
      <xdr:rowOff>76200</xdr:rowOff>
    </xdr:to>
    <xdr:pic>
      <xdr:nvPicPr>
        <xdr:cNvPr id="4775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057908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1646</xdr:row>
      <xdr:rowOff>50800</xdr:rowOff>
    </xdr:from>
    <xdr:to>
      <xdr:col>16</xdr:col>
      <xdr:colOff>12700</xdr:colOff>
      <xdr:row>1650</xdr:row>
      <xdr:rowOff>76200</xdr:rowOff>
    </xdr:to>
    <xdr:pic>
      <xdr:nvPicPr>
        <xdr:cNvPr id="4775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544826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351</xdr:row>
      <xdr:rowOff>50800</xdr:rowOff>
    </xdr:from>
    <xdr:to>
      <xdr:col>16</xdr:col>
      <xdr:colOff>12700</xdr:colOff>
      <xdr:row>355</xdr:row>
      <xdr:rowOff>114300</xdr:rowOff>
    </xdr:to>
    <xdr:pic>
      <xdr:nvPicPr>
        <xdr:cNvPr id="4775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543052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631</xdr:row>
      <xdr:rowOff>50800</xdr:rowOff>
    </xdr:from>
    <xdr:to>
      <xdr:col>16</xdr:col>
      <xdr:colOff>12700</xdr:colOff>
      <xdr:row>635</xdr:row>
      <xdr:rowOff>114300</xdr:rowOff>
    </xdr:to>
    <xdr:pic>
      <xdr:nvPicPr>
        <xdr:cNvPr id="4775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975868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771</xdr:row>
      <xdr:rowOff>50800</xdr:rowOff>
    </xdr:from>
    <xdr:to>
      <xdr:col>16</xdr:col>
      <xdr:colOff>12700</xdr:colOff>
      <xdr:row>775</xdr:row>
      <xdr:rowOff>114300</xdr:rowOff>
    </xdr:to>
    <xdr:pic>
      <xdr:nvPicPr>
        <xdr:cNvPr id="4775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192276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876</xdr:row>
      <xdr:rowOff>50800</xdr:rowOff>
    </xdr:from>
    <xdr:to>
      <xdr:col>16</xdr:col>
      <xdr:colOff>12700</xdr:colOff>
      <xdr:row>880</xdr:row>
      <xdr:rowOff>114300</xdr:rowOff>
    </xdr:to>
    <xdr:pic>
      <xdr:nvPicPr>
        <xdr:cNvPr id="4775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354582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1506</xdr:row>
      <xdr:rowOff>50800</xdr:rowOff>
    </xdr:from>
    <xdr:to>
      <xdr:col>16</xdr:col>
      <xdr:colOff>12700</xdr:colOff>
      <xdr:row>1510</xdr:row>
      <xdr:rowOff>76200</xdr:rowOff>
    </xdr:to>
    <xdr:pic>
      <xdr:nvPicPr>
        <xdr:cNvPr id="4775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328418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1576</xdr:row>
      <xdr:rowOff>50800</xdr:rowOff>
    </xdr:from>
    <xdr:to>
      <xdr:col>16</xdr:col>
      <xdr:colOff>12700</xdr:colOff>
      <xdr:row>1580</xdr:row>
      <xdr:rowOff>76200</xdr:rowOff>
    </xdr:to>
    <xdr:pic>
      <xdr:nvPicPr>
        <xdr:cNvPr id="4776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436622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1821</xdr:row>
      <xdr:rowOff>50800</xdr:rowOff>
    </xdr:from>
    <xdr:to>
      <xdr:col>16</xdr:col>
      <xdr:colOff>12700</xdr:colOff>
      <xdr:row>1825</xdr:row>
      <xdr:rowOff>76200</xdr:rowOff>
    </xdr:to>
    <xdr:pic>
      <xdr:nvPicPr>
        <xdr:cNvPr id="4776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815336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176</xdr:row>
      <xdr:rowOff>50800</xdr:rowOff>
    </xdr:from>
    <xdr:to>
      <xdr:col>16</xdr:col>
      <xdr:colOff>12700</xdr:colOff>
      <xdr:row>180</xdr:row>
      <xdr:rowOff>114300</xdr:rowOff>
    </xdr:to>
    <xdr:pic>
      <xdr:nvPicPr>
        <xdr:cNvPr id="4776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72542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736</xdr:row>
      <xdr:rowOff>50800</xdr:rowOff>
    </xdr:from>
    <xdr:to>
      <xdr:col>16</xdr:col>
      <xdr:colOff>12700</xdr:colOff>
      <xdr:row>740</xdr:row>
      <xdr:rowOff>114300</xdr:rowOff>
    </xdr:to>
    <xdr:pic>
      <xdr:nvPicPr>
        <xdr:cNvPr id="4776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138174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1051</xdr:row>
      <xdr:rowOff>50800</xdr:rowOff>
    </xdr:from>
    <xdr:to>
      <xdr:col>16</xdr:col>
      <xdr:colOff>12700</xdr:colOff>
      <xdr:row>1055</xdr:row>
      <xdr:rowOff>76200</xdr:rowOff>
    </xdr:to>
    <xdr:pic>
      <xdr:nvPicPr>
        <xdr:cNvPr id="4776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625092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1471</xdr:row>
      <xdr:rowOff>50800</xdr:rowOff>
    </xdr:from>
    <xdr:to>
      <xdr:col>16</xdr:col>
      <xdr:colOff>12700</xdr:colOff>
      <xdr:row>1475</xdr:row>
      <xdr:rowOff>76200</xdr:rowOff>
    </xdr:to>
    <xdr:pic>
      <xdr:nvPicPr>
        <xdr:cNvPr id="4776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274316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1016</xdr:row>
      <xdr:rowOff>50800</xdr:rowOff>
    </xdr:from>
    <xdr:to>
      <xdr:col>16</xdr:col>
      <xdr:colOff>12700</xdr:colOff>
      <xdr:row>1020</xdr:row>
      <xdr:rowOff>114300</xdr:rowOff>
    </xdr:to>
    <xdr:pic>
      <xdr:nvPicPr>
        <xdr:cNvPr id="4776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570990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1366</xdr:row>
      <xdr:rowOff>50800</xdr:rowOff>
    </xdr:from>
    <xdr:to>
      <xdr:col>16</xdr:col>
      <xdr:colOff>12700</xdr:colOff>
      <xdr:row>1370</xdr:row>
      <xdr:rowOff>76200</xdr:rowOff>
    </xdr:to>
    <xdr:pic>
      <xdr:nvPicPr>
        <xdr:cNvPr id="4776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112010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211</xdr:row>
      <xdr:rowOff>50800</xdr:rowOff>
    </xdr:from>
    <xdr:to>
      <xdr:col>16</xdr:col>
      <xdr:colOff>12700</xdr:colOff>
      <xdr:row>215</xdr:row>
      <xdr:rowOff>114300</xdr:rowOff>
    </xdr:to>
    <xdr:pic>
      <xdr:nvPicPr>
        <xdr:cNvPr id="4776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26644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561</xdr:row>
      <xdr:rowOff>50800</xdr:rowOff>
    </xdr:from>
    <xdr:to>
      <xdr:col>16</xdr:col>
      <xdr:colOff>12700</xdr:colOff>
      <xdr:row>565</xdr:row>
      <xdr:rowOff>114300</xdr:rowOff>
    </xdr:to>
    <xdr:pic>
      <xdr:nvPicPr>
        <xdr:cNvPr id="4776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867664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981</xdr:row>
      <xdr:rowOff>50800</xdr:rowOff>
    </xdr:from>
    <xdr:to>
      <xdr:col>16</xdr:col>
      <xdr:colOff>12700</xdr:colOff>
      <xdr:row>985</xdr:row>
      <xdr:rowOff>114300</xdr:rowOff>
    </xdr:to>
    <xdr:pic>
      <xdr:nvPicPr>
        <xdr:cNvPr id="4777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516888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1716</xdr:row>
      <xdr:rowOff>50800</xdr:rowOff>
    </xdr:from>
    <xdr:to>
      <xdr:col>16</xdr:col>
      <xdr:colOff>12700</xdr:colOff>
      <xdr:row>1720</xdr:row>
      <xdr:rowOff>76200</xdr:rowOff>
    </xdr:to>
    <xdr:pic>
      <xdr:nvPicPr>
        <xdr:cNvPr id="4777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653030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1926</xdr:row>
      <xdr:rowOff>50800</xdr:rowOff>
    </xdr:from>
    <xdr:to>
      <xdr:col>16</xdr:col>
      <xdr:colOff>12700</xdr:colOff>
      <xdr:row>1930</xdr:row>
      <xdr:rowOff>76200</xdr:rowOff>
    </xdr:to>
    <xdr:pic>
      <xdr:nvPicPr>
        <xdr:cNvPr id="4777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977642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386</xdr:row>
      <xdr:rowOff>50800</xdr:rowOff>
    </xdr:from>
    <xdr:to>
      <xdr:col>16</xdr:col>
      <xdr:colOff>12700</xdr:colOff>
      <xdr:row>390</xdr:row>
      <xdr:rowOff>114300</xdr:rowOff>
    </xdr:to>
    <xdr:pic>
      <xdr:nvPicPr>
        <xdr:cNvPr id="4777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597154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491</xdr:row>
      <xdr:rowOff>50800</xdr:rowOff>
    </xdr:from>
    <xdr:to>
      <xdr:col>16</xdr:col>
      <xdr:colOff>12700</xdr:colOff>
      <xdr:row>495</xdr:row>
      <xdr:rowOff>114300</xdr:rowOff>
    </xdr:to>
    <xdr:pic>
      <xdr:nvPicPr>
        <xdr:cNvPr id="4777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759460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1681</xdr:row>
      <xdr:rowOff>50800</xdr:rowOff>
    </xdr:from>
    <xdr:to>
      <xdr:col>16</xdr:col>
      <xdr:colOff>12700</xdr:colOff>
      <xdr:row>1685</xdr:row>
      <xdr:rowOff>76200</xdr:rowOff>
    </xdr:to>
    <xdr:pic>
      <xdr:nvPicPr>
        <xdr:cNvPr id="4777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598928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911</xdr:row>
      <xdr:rowOff>50800</xdr:rowOff>
    </xdr:from>
    <xdr:to>
      <xdr:col>16</xdr:col>
      <xdr:colOff>12700</xdr:colOff>
      <xdr:row>915</xdr:row>
      <xdr:rowOff>114300</xdr:rowOff>
    </xdr:to>
    <xdr:pic>
      <xdr:nvPicPr>
        <xdr:cNvPr id="4777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408684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1086</xdr:row>
      <xdr:rowOff>50800</xdr:rowOff>
    </xdr:from>
    <xdr:to>
      <xdr:col>16</xdr:col>
      <xdr:colOff>12700</xdr:colOff>
      <xdr:row>1090</xdr:row>
      <xdr:rowOff>76200</xdr:rowOff>
    </xdr:to>
    <xdr:pic>
      <xdr:nvPicPr>
        <xdr:cNvPr id="4777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679194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1856</xdr:row>
      <xdr:rowOff>50800</xdr:rowOff>
    </xdr:from>
    <xdr:to>
      <xdr:col>16</xdr:col>
      <xdr:colOff>12700</xdr:colOff>
      <xdr:row>1860</xdr:row>
      <xdr:rowOff>76200</xdr:rowOff>
    </xdr:to>
    <xdr:pic>
      <xdr:nvPicPr>
        <xdr:cNvPr id="4777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869438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2031</xdr:row>
      <xdr:rowOff>50800</xdr:rowOff>
    </xdr:from>
    <xdr:to>
      <xdr:col>16</xdr:col>
      <xdr:colOff>12700</xdr:colOff>
      <xdr:row>2035</xdr:row>
      <xdr:rowOff>76200</xdr:rowOff>
    </xdr:to>
    <xdr:pic>
      <xdr:nvPicPr>
        <xdr:cNvPr id="4777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139948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71</xdr:row>
      <xdr:rowOff>50800</xdr:rowOff>
    </xdr:from>
    <xdr:to>
      <xdr:col>16</xdr:col>
      <xdr:colOff>12700</xdr:colOff>
      <xdr:row>76</xdr:row>
      <xdr:rowOff>0</xdr:rowOff>
    </xdr:to>
    <xdr:pic>
      <xdr:nvPicPr>
        <xdr:cNvPr id="4778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1023600"/>
          <a:ext cx="17653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701</xdr:row>
      <xdr:rowOff>50800</xdr:rowOff>
    </xdr:from>
    <xdr:to>
      <xdr:col>16</xdr:col>
      <xdr:colOff>12700</xdr:colOff>
      <xdr:row>705</xdr:row>
      <xdr:rowOff>114300</xdr:rowOff>
    </xdr:to>
    <xdr:pic>
      <xdr:nvPicPr>
        <xdr:cNvPr id="4778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084072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1436</xdr:row>
      <xdr:rowOff>50800</xdr:rowOff>
    </xdr:from>
    <xdr:to>
      <xdr:col>16</xdr:col>
      <xdr:colOff>12700</xdr:colOff>
      <xdr:row>1440</xdr:row>
      <xdr:rowOff>76200</xdr:rowOff>
    </xdr:to>
    <xdr:pic>
      <xdr:nvPicPr>
        <xdr:cNvPr id="47782"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220214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1961</xdr:row>
      <xdr:rowOff>50800</xdr:rowOff>
    </xdr:from>
    <xdr:to>
      <xdr:col>16</xdr:col>
      <xdr:colOff>12700</xdr:colOff>
      <xdr:row>1965</xdr:row>
      <xdr:rowOff>76200</xdr:rowOff>
    </xdr:to>
    <xdr:pic>
      <xdr:nvPicPr>
        <xdr:cNvPr id="47783"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031744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2066</xdr:row>
      <xdr:rowOff>50800</xdr:rowOff>
    </xdr:from>
    <xdr:to>
      <xdr:col>16</xdr:col>
      <xdr:colOff>12700</xdr:colOff>
      <xdr:row>2070</xdr:row>
      <xdr:rowOff>76200</xdr:rowOff>
    </xdr:to>
    <xdr:pic>
      <xdr:nvPicPr>
        <xdr:cNvPr id="47784"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3194050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36</xdr:row>
      <xdr:rowOff>50800</xdr:rowOff>
    </xdr:from>
    <xdr:to>
      <xdr:col>16</xdr:col>
      <xdr:colOff>12700</xdr:colOff>
      <xdr:row>41</xdr:row>
      <xdr:rowOff>0</xdr:rowOff>
    </xdr:to>
    <xdr:pic>
      <xdr:nvPicPr>
        <xdr:cNvPr id="47785"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5613400"/>
          <a:ext cx="17653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666</xdr:row>
      <xdr:rowOff>50800</xdr:rowOff>
    </xdr:from>
    <xdr:to>
      <xdr:col>16</xdr:col>
      <xdr:colOff>12700</xdr:colOff>
      <xdr:row>670</xdr:row>
      <xdr:rowOff>114300</xdr:rowOff>
    </xdr:to>
    <xdr:pic>
      <xdr:nvPicPr>
        <xdr:cNvPr id="47786"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029970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841</xdr:row>
      <xdr:rowOff>50800</xdr:rowOff>
    </xdr:from>
    <xdr:to>
      <xdr:col>16</xdr:col>
      <xdr:colOff>12700</xdr:colOff>
      <xdr:row>845</xdr:row>
      <xdr:rowOff>114300</xdr:rowOff>
    </xdr:to>
    <xdr:pic>
      <xdr:nvPicPr>
        <xdr:cNvPr id="47787"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30048000"/>
          <a:ext cx="17653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1191</xdr:row>
      <xdr:rowOff>50800</xdr:rowOff>
    </xdr:from>
    <xdr:to>
      <xdr:col>16</xdr:col>
      <xdr:colOff>12700</xdr:colOff>
      <xdr:row>1195</xdr:row>
      <xdr:rowOff>76200</xdr:rowOff>
    </xdr:to>
    <xdr:pic>
      <xdr:nvPicPr>
        <xdr:cNvPr id="47788"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841500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1261</xdr:row>
      <xdr:rowOff>50800</xdr:rowOff>
    </xdr:from>
    <xdr:to>
      <xdr:col>16</xdr:col>
      <xdr:colOff>12700</xdr:colOff>
      <xdr:row>1265</xdr:row>
      <xdr:rowOff>76200</xdr:rowOff>
    </xdr:to>
    <xdr:pic>
      <xdr:nvPicPr>
        <xdr:cNvPr id="47789"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949704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1296</xdr:row>
      <xdr:rowOff>50800</xdr:rowOff>
    </xdr:from>
    <xdr:to>
      <xdr:col>16</xdr:col>
      <xdr:colOff>12700</xdr:colOff>
      <xdr:row>1300</xdr:row>
      <xdr:rowOff>76200</xdr:rowOff>
    </xdr:to>
    <xdr:pic>
      <xdr:nvPicPr>
        <xdr:cNvPr id="47790"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003806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406400</xdr:colOff>
      <xdr:row>1611</xdr:row>
      <xdr:rowOff>50800</xdr:rowOff>
    </xdr:from>
    <xdr:to>
      <xdr:col>16</xdr:col>
      <xdr:colOff>12700</xdr:colOff>
      <xdr:row>1615</xdr:row>
      <xdr:rowOff>76200</xdr:rowOff>
    </xdr:to>
    <xdr:pic>
      <xdr:nvPicPr>
        <xdr:cNvPr id="47791" name="Picture 2" descr="ExamsBoardLogo30m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249072400"/>
          <a:ext cx="1765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E189"/>
  <sheetViews>
    <sheetView showGridLines="0" tabSelected="1" zoomScale="125" workbookViewId="0">
      <selection activeCell="N34" sqref="N34"/>
    </sheetView>
  </sheetViews>
  <sheetFormatPr defaultColWidth="12.42578125" defaultRowHeight="11.1" customHeight="1" x14ac:dyDescent="0.2"/>
  <cols>
    <col min="1" max="12" width="4.7109375" style="42" customWidth="1"/>
    <col min="13" max="13" width="4.7109375" style="34" customWidth="1"/>
    <col min="14" max="14" width="9.7109375" style="42" customWidth="1"/>
    <col min="15" max="15" width="16.85546875" style="42" bestFit="1" customWidth="1"/>
    <col min="16" max="16" width="17.7109375" style="42" customWidth="1"/>
    <col min="17" max="17" width="6.7109375" style="42" customWidth="1"/>
    <col min="18" max="18" width="9.140625" style="42" customWidth="1"/>
    <col min="19" max="22" width="3.28515625" style="42" customWidth="1"/>
    <col min="23" max="23" width="9.42578125" style="42" bestFit="1" customWidth="1"/>
    <col min="24" max="24" width="8.7109375" style="42" customWidth="1"/>
    <col min="25" max="25" width="4.28515625" style="42" customWidth="1"/>
    <col min="26" max="16384" width="12.42578125" style="42"/>
  </cols>
  <sheetData>
    <row r="1" spans="1:31" ht="5.0999999999999996" customHeight="1" x14ac:dyDescent="0.2"/>
    <row r="2" spans="1:31" ht="5.0999999999999996" customHeight="1" x14ac:dyDescent="0.2"/>
    <row r="3" spans="1:31" ht="11.1" customHeight="1" thickBot="1" x14ac:dyDescent="0.25"/>
    <row r="4" spans="1:31" ht="11.1" customHeight="1" x14ac:dyDescent="0.2">
      <c r="A4" s="291"/>
      <c r="B4" s="292"/>
      <c r="C4" s="292"/>
      <c r="D4" s="292"/>
      <c r="E4" s="292"/>
      <c r="F4" s="293" t="s">
        <v>325</v>
      </c>
      <c r="G4" s="293"/>
      <c r="H4" s="293"/>
      <c r="I4" s="293"/>
      <c r="J4" s="293"/>
      <c r="K4" s="293"/>
      <c r="L4" s="293"/>
      <c r="M4" s="293"/>
      <c r="N4" s="256" t="s">
        <v>174</v>
      </c>
      <c r="O4" s="257"/>
      <c r="P4" s="257"/>
      <c r="Q4" s="55"/>
      <c r="R4" s="326" t="s">
        <v>93</v>
      </c>
      <c r="S4" s="327"/>
      <c r="T4" s="328"/>
      <c r="U4" s="341">
        <f ca="1">TODAY()</f>
        <v>43649</v>
      </c>
      <c r="V4" s="342"/>
      <c r="W4" s="342"/>
      <c r="X4" s="343"/>
      <c r="Y4" s="31"/>
      <c r="Z4" s="31"/>
      <c r="AA4" s="31"/>
      <c r="AB4" s="31"/>
      <c r="AC4" s="31"/>
      <c r="AD4" s="31"/>
      <c r="AE4" s="31"/>
    </row>
    <row r="5" spans="1:31" ht="11.1" customHeight="1" thickBot="1" x14ac:dyDescent="0.25">
      <c r="A5" s="292"/>
      <c r="B5" s="292"/>
      <c r="C5" s="292"/>
      <c r="D5" s="292"/>
      <c r="E5" s="292"/>
      <c r="F5" s="293" t="s">
        <v>326</v>
      </c>
      <c r="G5" s="293"/>
      <c r="H5" s="293"/>
      <c r="I5" s="293"/>
      <c r="J5" s="293"/>
      <c r="K5" s="293"/>
      <c r="L5" s="293"/>
      <c r="M5" s="293"/>
      <c r="N5" s="257"/>
      <c r="O5" s="257"/>
      <c r="P5" s="257"/>
      <c r="Q5" s="55"/>
      <c r="R5" s="329"/>
      <c r="S5" s="330"/>
      <c r="T5" s="331"/>
      <c r="U5" s="344"/>
      <c r="V5" s="345"/>
      <c r="W5" s="345"/>
      <c r="X5" s="346"/>
      <c r="Y5" s="31"/>
      <c r="Z5" s="31"/>
      <c r="AA5" s="31"/>
      <c r="AB5" s="31"/>
      <c r="AC5" s="31"/>
      <c r="AD5" s="31"/>
      <c r="AE5" s="31"/>
    </row>
    <row r="6" spans="1:31" ht="11.1" customHeight="1" x14ac:dyDescent="0.2">
      <c r="A6" s="292"/>
      <c r="B6" s="292"/>
      <c r="C6" s="292"/>
      <c r="D6" s="292"/>
      <c r="E6" s="292"/>
      <c r="F6" s="293" t="s">
        <v>336</v>
      </c>
      <c r="G6" s="293"/>
      <c r="H6" s="293"/>
      <c r="I6" s="293"/>
      <c r="J6" s="293"/>
      <c r="K6" s="293"/>
      <c r="L6" s="293"/>
      <c r="M6" s="293"/>
      <c r="N6" s="257"/>
      <c r="O6" s="257"/>
      <c r="P6" s="257"/>
      <c r="Q6" s="53"/>
      <c r="R6" s="335" t="s">
        <v>6</v>
      </c>
      <c r="S6" s="336"/>
      <c r="T6" s="337"/>
      <c r="U6" s="338" t="s">
        <v>180</v>
      </c>
      <c r="V6" s="339"/>
      <c r="W6" s="339"/>
      <c r="X6" s="340"/>
      <c r="Y6" s="31"/>
      <c r="Z6" s="31"/>
      <c r="AA6" s="31"/>
      <c r="AB6" s="31"/>
      <c r="AC6" s="31"/>
      <c r="AD6" s="31"/>
      <c r="AE6" s="31"/>
    </row>
    <row r="7" spans="1:31" ht="11.1" customHeight="1" thickBot="1" x14ac:dyDescent="0.25">
      <c r="A7" s="292"/>
      <c r="B7" s="292"/>
      <c r="C7" s="292"/>
      <c r="D7" s="292"/>
      <c r="E7" s="292"/>
      <c r="F7" s="293" t="s">
        <v>337</v>
      </c>
      <c r="G7" s="293"/>
      <c r="H7" s="293"/>
      <c r="I7" s="293"/>
      <c r="J7" s="293"/>
      <c r="K7" s="293"/>
      <c r="L7" s="293"/>
      <c r="M7" s="293"/>
      <c r="N7" s="258" t="s">
        <v>339</v>
      </c>
      <c r="O7" s="259"/>
      <c r="P7" s="259"/>
      <c r="Q7" s="53"/>
      <c r="R7" s="246"/>
      <c r="S7" s="247"/>
      <c r="T7" s="248"/>
      <c r="U7" s="314"/>
      <c r="V7" s="315"/>
      <c r="W7" s="315"/>
      <c r="X7" s="316"/>
      <c r="Y7" s="31"/>
      <c r="Z7" s="31"/>
      <c r="AA7" s="31"/>
      <c r="AB7" s="31"/>
      <c r="AC7" s="31"/>
      <c r="AD7" s="31"/>
      <c r="AE7" s="31"/>
    </row>
    <row r="8" spans="1:31" ht="11.1" customHeight="1" x14ac:dyDescent="0.2">
      <c r="A8" s="292"/>
      <c r="B8" s="292"/>
      <c r="C8" s="292"/>
      <c r="D8" s="292"/>
      <c r="E8" s="292"/>
      <c r="F8" s="293" t="s">
        <v>338</v>
      </c>
      <c r="G8" s="293"/>
      <c r="H8" s="293"/>
      <c r="I8" s="293"/>
      <c r="J8" s="293"/>
      <c r="K8" s="293"/>
      <c r="L8" s="293"/>
      <c r="M8" s="293"/>
      <c r="N8" s="259"/>
      <c r="O8" s="259"/>
      <c r="P8" s="259"/>
      <c r="Q8" s="53"/>
      <c r="Y8" s="31"/>
      <c r="Z8" s="31"/>
      <c r="AA8" s="31"/>
      <c r="AB8" s="31"/>
      <c r="AC8" s="31"/>
      <c r="AD8" s="31"/>
      <c r="AE8" s="31"/>
    </row>
    <row r="9" spans="1:31" ht="11.1" customHeight="1" x14ac:dyDescent="0.2">
      <c r="A9" s="292"/>
      <c r="B9" s="292"/>
      <c r="C9" s="292"/>
      <c r="D9" s="292"/>
      <c r="E9" s="292"/>
      <c r="F9" s="293" t="s">
        <v>330</v>
      </c>
      <c r="G9" s="293"/>
      <c r="H9" s="293"/>
      <c r="I9" s="293"/>
      <c r="J9" s="293"/>
      <c r="K9" s="293"/>
      <c r="L9" s="293"/>
      <c r="M9" s="293"/>
      <c r="N9" s="260" t="s">
        <v>72</v>
      </c>
      <c r="O9" s="261"/>
      <c r="P9" s="261"/>
      <c r="Q9" s="113"/>
      <c r="U9" s="296" t="s">
        <v>260</v>
      </c>
      <c r="V9" s="296"/>
      <c r="W9" s="296"/>
      <c r="X9" s="296"/>
      <c r="Y9" s="31"/>
      <c r="Z9" s="31"/>
      <c r="AA9" s="31"/>
      <c r="AB9" s="31"/>
      <c r="AC9" s="31"/>
      <c r="AD9" s="31"/>
      <c r="AE9" s="31"/>
    </row>
    <row r="10" spans="1:31" ht="11.1" customHeight="1" x14ac:dyDescent="0.2">
      <c r="A10" s="292"/>
      <c r="B10" s="292"/>
      <c r="C10" s="292"/>
      <c r="D10" s="292"/>
      <c r="E10" s="292"/>
      <c r="F10" s="295" t="s">
        <v>222</v>
      </c>
      <c r="G10" s="295"/>
      <c r="H10" s="295"/>
      <c r="I10" s="295"/>
      <c r="J10" s="295"/>
      <c r="K10" s="295"/>
      <c r="L10" s="295"/>
      <c r="M10" s="295"/>
      <c r="N10" s="261" t="s">
        <v>175</v>
      </c>
      <c r="O10" s="261"/>
      <c r="P10" s="261"/>
      <c r="Q10" s="113"/>
      <c r="U10" s="332"/>
      <c r="V10" s="333"/>
      <c r="W10" s="324" t="s">
        <v>75</v>
      </c>
      <c r="X10" s="325"/>
      <c r="Y10" s="31"/>
      <c r="Z10" s="31"/>
      <c r="AA10" s="31"/>
      <c r="AB10" s="31"/>
      <c r="AC10" s="31"/>
      <c r="AD10" s="31"/>
      <c r="AE10" s="31"/>
    </row>
    <row r="11" spans="1:31" s="33" customFormat="1" ht="11.1" customHeight="1" x14ac:dyDescent="0.2">
      <c r="A11" s="290"/>
      <c r="B11" s="290"/>
      <c r="C11" s="290"/>
      <c r="D11" s="290"/>
      <c r="E11" s="290"/>
      <c r="F11" s="372"/>
      <c r="G11" s="372"/>
      <c r="H11" s="372"/>
      <c r="I11" s="372"/>
      <c r="J11" s="372"/>
      <c r="K11" s="372"/>
      <c r="L11" s="372"/>
      <c r="M11" s="372"/>
      <c r="N11" s="41"/>
      <c r="O11" s="41"/>
      <c r="P11" s="41"/>
      <c r="Q11" s="41"/>
      <c r="R11" s="41"/>
      <c r="S11" s="41"/>
      <c r="T11" s="41"/>
      <c r="U11" s="334"/>
      <c r="V11" s="325"/>
      <c r="W11" s="324" t="s">
        <v>182</v>
      </c>
      <c r="X11" s="325"/>
      <c r="Y11" s="31"/>
      <c r="Z11" s="31"/>
      <c r="AA11" s="31"/>
      <c r="AB11" s="31"/>
      <c r="AC11" s="31"/>
      <c r="AD11" s="31"/>
      <c r="AE11" s="31"/>
    </row>
    <row r="12" spans="1:31" s="33" customFormat="1" ht="11.1" customHeight="1" x14ac:dyDescent="0.2">
      <c r="A12" s="397" t="str">
        <f>IF(COUNTBLANK(W61:W61)=1,"",IF(L51="P","P","O"))</f>
        <v/>
      </c>
      <c r="B12" s="325"/>
      <c r="C12" s="155" t="str">
        <f>IF(COUNTBLANK(W61:W61)=1,"Signature Check",IF(L51="P","Entry Signed!","Signature Missing"))</f>
        <v>Signature Check</v>
      </c>
      <c r="D12" s="398"/>
      <c r="E12" s="398"/>
      <c r="F12" s="398"/>
      <c r="G12" s="398"/>
      <c r="H12" s="398"/>
      <c r="I12" s="398"/>
      <c r="J12" s="399"/>
      <c r="K12" s="41"/>
      <c r="L12" s="41"/>
      <c r="N12" s="126" t="str">
        <f>IF(COUNTBLANK(W61:W61)=1,"",IF(COUNTIF('Candidate Personal Info (VEF2)'!R12:R2085,"P")=(8*'Candidate Personal Info (VEF2)'!P33),"P","O"))</f>
        <v/>
      </c>
      <c r="O12" s="155" t="str">
        <f>IF(COUNTBLANK(W61:W61)=1,"Candidate Personal Information Check",IF(COUNTIF('Candidate Personal Info (VEF2)'!R12:R2085,"P")=(8*'Candidate Personal Info (VEF2)'!P33),"Candidate Personal Information Complete!","Candidate Personal Information Missing"))</f>
        <v>Candidate Personal Information Check</v>
      </c>
      <c r="P12" s="373"/>
      <c r="Q12" s="373"/>
      <c r="R12" s="374"/>
      <c r="T12" s="114"/>
      <c r="U12" s="254"/>
      <c r="V12" s="255"/>
      <c r="W12" s="324" t="s">
        <v>5</v>
      </c>
      <c r="X12" s="325"/>
      <c r="Y12" s="31"/>
      <c r="Z12" s="31"/>
      <c r="AA12" s="31"/>
      <c r="AB12" s="31"/>
      <c r="AC12" s="31"/>
      <c r="AD12" s="31"/>
      <c r="AE12" s="31"/>
    </row>
    <row r="13" spans="1:31" s="33" customFormat="1" ht="10.5" customHeight="1" thickBot="1" x14ac:dyDescent="0.25">
      <c r="A13" s="366"/>
      <c r="B13" s="366"/>
      <c r="C13" s="366"/>
      <c r="D13" s="366"/>
      <c r="E13" s="366"/>
      <c r="F13" s="367"/>
      <c r="G13" s="367"/>
      <c r="H13" s="367"/>
      <c r="I13" s="367"/>
      <c r="J13" s="367"/>
      <c r="K13" s="367"/>
      <c r="L13" s="367"/>
      <c r="M13" s="367"/>
      <c r="N13" s="29"/>
      <c r="O13" s="29"/>
      <c r="P13" s="29"/>
      <c r="Q13" s="29"/>
      <c r="R13" s="29"/>
      <c r="S13" s="29"/>
      <c r="T13" s="29"/>
      <c r="U13" s="29"/>
      <c r="V13" s="29"/>
      <c r="W13" s="29"/>
      <c r="X13" s="29"/>
      <c r="Y13" s="31"/>
      <c r="Z13" s="31"/>
      <c r="AA13" s="31"/>
      <c r="AB13" s="31"/>
      <c r="AC13" s="31"/>
      <c r="AD13" s="31"/>
      <c r="AE13" s="31"/>
    </row>
    <row r="14" spans="1:31" ht="12.75" x14ac:dyDescent="0.2">
      <c r="A14" s="216" t="s">
        <v>152</v>
      </c>
      <c r="B14" s="217"/>
      <c r="C14" s="217"/>
      <c r="D14" s="217"/>
      <c r="E14" s="217"/>
      <c r="F14" s="217"/>
      <c r="G14" s="217"/>
      <c r="H14" s="217"/>
      <c r="I14" s="217"/>
      <c r="J14" s="217"/>
      <c r="K14" s="217"/>
      <c r="L14" s="218"/>
      <c r="M14" s="287"/>
      <c r="N14" s="216" t="s">
        <v>290</v>
      </c>
      <c r="O14" s="249"/>
      <c r="P14" s="249"/>
      <c r="Q14" s="249"/>
      <c r="R14" s="249"/>
      <c r="S14" s="249"/>
      <c r="T14" s="249"/>
      <c r="U14" s="249"/>
      <c r="V14" s="249"/>
      <c r="W14" s="249"/>
      <c r="X14" s="250"/>
      <c r="Y14" s="31"/>
      <c r="Z14" s="31"/>
      <c r="AA14" s="31"/>
      <c r="AB14" s="31"/>
      <c r="AC14" s="31"/>
      <c r="AD14" s="31"/>
      <c r="AE14" s="31"/>
    </row>
    <row r="15" spans="1:31" ht="13.5" thickBot="1" x14ac:dyDescent="0.25">
      <c r="A15" s="219"/>
      <c r="B15" s="220"/>
      <c r="C15" s="220"/>
      <c r="D15" s="220"/>
      <c r="E15" s="220"/>
      <c r="F15" s="220"/>
      <c r="G15" s="220"/>
      <c r="H15" s="220"/>
      <c r="I15" s="220"/>
      <c r="J15" s="220"/>
      <c r="K15" s="220"/>
      <c r="L15" s="221"/>
      <c r="M15" s="288"/>
      <c r="N15" s="251"/>
      <c r="O15" s="252"/>
      <c r="P15" s="252"/>
      <c r="Q15" s="252"/>
      <c r="R15" s="252"/>
      <c r="S15" s="252"/>
      <c r="T15" s="252"/>
      <c r="U15" s="252"/>
      <c r="V15" s="252"/>
      <c r="W15" s="252"/>
      <c r="X15" s="253"/>
      <c r="Y15" s="31"/>
      <c r="Z15" s="31"/>
      <c r="AA15" s="31"/>
      <c r="AB15" s="31"/>
      <c r="AC15" s="31"/>
      <c r="AD15" s="31"/>
      <c r="AE15" s="31"/>
    </row>
    <row r="16" spans="1:31" ht="13.5" customHeight="1" thickBot="1" x14ac:dyDescent="0.25">
      <c r="A16" s="277" t="s">
        <v>223</v>
      </c>
      <c r="B16" s="278"/>
      <c r="C16" s="279"/>
      <c r="D16" s="321"/>
      <c r="E16" s="322"/>
      <c r="F16" s="322"/>
      <c r="G16" s="322"/>
      <c r="H16" s="322"/>
      <c r="I16" s="390"/>
      <c r="J16" s="14" t="s">
        <v>224</v>
      </c>
      <c r="K16" s="358"/>
      <c r="L16" s="359"/>
      <c r="M16" s="288"/>
      <c r="N16" s="137" t="s">
        <v>164</v>
      </c>
      <c r="O16" s="138"/>
      <c r="P16" s="160"/>
      <c r="Q16" s="138"/>
      <c r="R16" s="138"/>
      <c r="S16" s="138"/>
      <c r="T16" s="138"/>
      <c r="U16" s="138"/>
      <c r="V16" s="138"/>
      <c r="W16" s="138"/>
      <c r="X16" s="140"/>
      <c r="Y16" s="31"/>
      <c r="Z16" s="31"/>
      <c r="AA16" s="31"/>
      <c r="AB16" s="31"/>
      <c r="AC16" s="31"/>
      <c r="AD16" s="31"/>
      <c r="AE16" s="31"/>
    </row>
    <row r="17" spans="1:31" ht="12.75" customHeight="1" x14ac:dyDescent="0.2">
      <c r="A17" s="277" t="s">
        <v>321</v>
      </c>
      <c r="B17" s="278"/>
      <c r="C17" s="279"/>
      <c r="D17" s="355"/>
      <c r="E17" s="356"/>
      <c r="F17" s="356"/>
      <c r="G17" s="356"/>
      <c r="H17" s="356"/>
      <c r="I17" s="356"/>
      <c r="J17" s="356"/>
      <c r="K17" s="356"/>
      <c r="L17" s="357"/>
      <c r="M17" s="288"/>
      <c r="N17" s="158" t="s">
        <v>240</v>
      </c>
      <c r="O17" s="149" t="s">
        <v>241</v>
      </c>
      <c r="P17" s="149" t="s">
        <v>171</v>
      </c>
      <c r="Q17" s="141" t="s">
        <v>214</v>
      </c>
      <c r="R17" s="149" t="s">
        <v>221</v>
      </c>
      <c r="S17" s="262" t="s">
        <v>264</v>
      </c>
      <c r="T17" s="263"/>
      <c r="U17" s="263"/>
      <c r="V17" s="264"/>
      <c r="W17" s="149" t="s">
        <v>242</v>
      </c>
      <c r="X17" s="182" t="s">
        <v>180</v>
      </c>
      <c r="Y17" s="31"/>
      <c r="Z17" s="31"/>
      <c r="AA17" s="31"/>
      <c r="AB17" s="31"/>
      <c r="AC17" s="31"/>
      <c r="AD17" s="31"/>
      <c r="AE17" s="31"/>
    </row>
    <row r="18" spans="1:31" ht="12.75" customHeight="1" thickBot="1" x14ac:dyDescent="0.25">
      <c r="A18" s="277" t="s">
        <v>322</v>
      </c>
      <c r="B18" s="278"/>
      <c r="C18" s="279"/>
      <c r="D18" s="355"/>
      <c r="E18" s="356"/>
      <c r="F18" s="356"/>
      <c r="G18" s="356"/>
      <c r="H18" s="356"/>
      <c r="I18" s="356"/>
      <c r="J18" s="356"/>
      <c r="K18" s="356"/>
      <c r="L18" s="357"/>
      <c r="M18" s="289"/>
      <c r="N18" s="159"/>
      <c r="O18" s="150"/>
      <c r="P18" s="150"/>
      <c r="Q18" s="142"/>
      <c r="R18" s="150"/>
      <c r="S18" s="40">
        <v>1</v>
      </c>
      <c r="T18" s="40">
        <v>2</v>
      </c>
      <c r="U18" s="40">
        <v>3</v>
      </c>
      <c r="V18" s="40">
        <v>4</v>
      </c>
      <c r="W18" s="150"/>
      <c r="X18" s="183"/>
      <c r="Y18" s="31"/>
      <c r="Z18" s="31"/>
      <c r="AA18" s="31"/>
      <c r="AB18" s="31"/>
      <c r="AC18" s="31"/>
      <c r="AD18" s="31"/>
      <c r="AE18" s="31"/>
    </row>
    <row r="19" spans="1:31" ht="12.75" x14ac:dyDescent="0.2">
      <c r="A19" s="277" t="s">
        <v>323</v>
      </c>
      <c r="B19" s="278"/>
      <c r="C19" s="279"/>
      <c r="D19" s="355"/>
      <c r="E19" s="356"/>
      <c r="F19" s="356"/>
      <c r="G19" s="356"/>
      <c r="H19" s="356"/>
      <c r="I19" s="356"/>
      <c r="J19" s="356"/>
      <c r="K19" s="356"/>
      <c r="L19" s="357"/>
      <c r="M19" s="28" t="str">
        <f>IF(OR(ISTEXT(O19),ISTEXT(P19)),1,"")</f>
        <v/>
      </c>
      <c r="N19" s="20"/>
      <c r="O19" s="21"/>
      <c r="P19" s="22"/>
      <c r="Q19" s="16"/>
      <c r="R19" s="20"/>
      <c r="S19" s="20"/>
      <c r="T19" s="20"/>
      <c r="U19" s="20"/>
      <c r="V19" s="20"/>
      <c r="W19" s="35" t="str">
        <f>IF(COUNTBLANK(O19:P19)&gt;0,"",IF($R19="IF",data!$D$10,IF($R19="I",data!$E$10,IF($R19="AF",data!$F$10,IF($R19="A1",data!$G$10,IF($R19="A2",data!$H$10,IF($R19="SS",data!$I$10,"")))))))</f>
        <v/>
      </c>
      <c r="X19" s="48"/>
      <c r="Y19" s="31"/>
      <c r="Z19" s="31"/>
      <c r="AA19" s="31"/>
      <c r="AB19" s="31"/>
      <c r="AC19" s="31"/>
      <c r="AD19" s="31"/>
      <c r="AE19" s="31"/>
    </row>
    <row r="20" spans="1:31" ht="12.75" x14ac:dyDescent="0.2">
      <c r="A20" s="265" t="s">
        <v>131</v>
      </c>
      <c r="B20" s="266"/>
      <c r="C20" s="267"/>
      <c r="D20" s="355"/>
      <c r="E20" s="356"/>
      <c r="F20" s="356"/>
      <c r="G20" s="356"/>
      <c r="H20" s="356"/>
      <c r="I20" s="356"/>
      <c r="J20" s="356"/>
      <c r="K20" s="356"/>
      <c r="L20" s="357"/>
      <c r="M20" s="28" t="str">
        <f>IF(OR(ISTEXT(O20),ISTEXT(P20)),MAX(M$19:M19)+1,"")</f>
        <v/>
      </c>
      <c r="N20" s="20"/>
      <c r="O20" s="21"/>
      <c r="P20" s="22"/>
      <c r="Q20" s="16"/>
      <c r="R20" s="20"/>
      <c r="S20" s="20"/>
      <c r="T20" s="20"/>
      <c r="U20" s="20"/>
      <c r="V20" s="20"/>
      <c r="W20" s="35" t="str">
        <f>IF(COUNTBLANK(O20:P20)&gt;0,"",IF($R20="IF",data!$D$10,IF($R20="I",data!$E$10,IF($R20="AF",data!$F$10,IF($R20="A1",data!$G$10,IF($R20="A2",data!$H$10,IF($R20="SS",data!$I$10,"")))))))</f>
        <v/>
      </c>
      <c r="X20" s="48"/>
      <c r="Y20" s="31"/>
      <c r="Z20" s="31"/>
      <c r="AA20" s="31"/>
      <c r="AB20" s="31"/>
      <c r="AC20" s="31"/>
      <c r="AD20" s="31"/>
      <c r="AE20" s="31"/>
    </row>
    <row r="21" spans="1:31" ht="12.75" x14ac:dyDescent="0.2">
      <c r="A21" s="265" t="s">
        <v>177</v>
      </c>
      <c r="B21" s="266"/>
      <c r="C21" s="267"/>
      <c r="D21" s="355"/>
      <c r="E21" s="356"/>
      <c r="F21" s="356"/>
      <c r="G21" s="356"/>
      <c r="H21" s="356"/>
      <c r="I21" s="356"/>
      <c r="J21" s="356"/>
      <c r="K21" s="356"/>
      <c r="L21" s="357"/>
      <c r="M21" s="28" t="str">
        <f>IF(OR(ISTEXT(O21),ISTEXT(P21)),MAX(M$19:M20)+1,"")</f>
        <v/>
      </c>
      <c r="N21" s="20"/>
      <c r="O21" s="21"/>
      <c r="P21" s="22"/>
      <c r="Q21" s="16"/>
      <c r="R21" s="20"/>
      <c r="S21" s="20"/>
      <c r="T21" s="20"/>
      <c r="U21" s="20"/>
      <c r="V21" s="20"/>
      <c r="W21" s="35" t="str">
        <f>IF(COUNTBLANK(O21:P21)&gt;0,"",IF($R21="IF",data!$D$10,IF($R21="I",data!$E$10,IF($R21="AF",data!$F$10,IF($R21="A1",data!$G$10,IF($R21="A2",data!$H$10,IF($R21="SS",data!$I$10,"")))))))</f>
        <v/>
      </c>
      <c r="X21" s="48"/>
      <c r="Y21" s="31"/>
      <c r="Z21" s="31"/>
      <c r="AA21" s="31"/>
      <c r="AB21" s="31"/>
      <c r="AC21" s="31"/>
      <c r="AD21" s="31"/>
      <c r="AE21" s="31"/>
    </row>
    <row r="22" spans="1:31" ht="12.75" x14ac:dyDescent="0.2">
      <c r="A22" s="265" t="s">
        <v>178</v>
      </c>
      <c r="B22" s="266"/>
      <c r="C22" s="267"/>
      <c r="D22" s="355"/>
      <c r="E22" s="356"/>
      <c r="F22" s="356"/>
      <c r="G22" s="360"/>
      <c r="H22" s="227" t="s">
        <v>212</v>
      </c>
      <c r="I22" s="229"/>
      <c r="J22" s="358"/>
      <c r="K22" s="379"/>
      <c r="L22" s="359"/>
      <c r="M22" s="28" t="str">
        <f>IF(OR(ISTEXT(O22),ISTEXT(P22)),MAX(M$19:M21)+1,"")</f>
        <v/>
      </c>
      <c r="N22" s="20"/>
      <c r="O22" s="21"/>
      <c r="P22" s="22"/>
      <c r="Q22" s="16"/>
      <c r="R22" s="20"/>
      <c r="S22" s="20"/>
      <c r="T22" s="20"/>
      <c r="U22" s="20"/>
      <c r="V22" s="20"/>
      <c r="W22" s="35" t="str">
        <f>IF(COUNTBLANK(O22:P22)&gt;0,"",IF($R22="IF",data!$D$10,IF($R22="I",data!$E$10,IF($R22="AF",data!$F$10,IF($R22="A1",data!$G$10,IF($R22="A2",data!$H$10,IF($R22="SS",data!$I$10,"")))))))</f>
        <v/>
      </c>
      <c r="X22" s="48"/>
      <c r="Y22" s="31"/>
      <c r="Z22" s="31"/>
      <c r="AA22" s="31"/>
      <c r="AB22" s="31"/>
      <c r="AC22" s="31"/>
      <c r="AD22" s="31"/>
      <c r="AE22" s="31"/>
    </row>
    <row r="23" spans="1:31" ht="12.75" x14ac:dyDescent="0.2">
      <c r="A23" s="277" t="s">
        <v>133</v>
      </c>
      <c r="B23" s="278"/>
      <c r="C23" s="279"/>
      <c r="D23" s="355"/>
      <c r="E23" s="356"/>
      <c r="F23" s="356"/>
      <c r="G23" s="356"/>
      <c r="H23" s="360"/>
      <c r="I23" s="50" t="s">
        <v>132</v>
      </c>
      <c r="J23" s="355"/>
      <c r="K23" s="356"/>
      <c r="L23" s="357"/>
      <c r="M23" s="28" t="str">
        <f>IF(OR(ISTEXT(O23),ISTEXT(P23)),MAX(M$19:M22)+1,"")</f>
        <v/>
      </c>
      <c r="N23" s="20"/>
      <c r="O23" s="21"/>
      <c r="P23" s="22"/>
      <c r="Q23" s="16"/>
      <c r="R23" s="20"/>
      <c r="S23" s="20"/>
      <c r="T23" s="20"/>
      <c r="U23" s="20"/>
      <c r="V23" s="20"/>
      <c r="W23" s="35" t="str">
        <f>IF(COUNTBLANK(O23:P23)&gt;0,"",IF($R23="IF",data!$D$10,IF($R23="I",data!$E$10,IF($R23="AF",data!$F$10,IF($R23="A1",data!$G$10,IF($R23="A2",data!$H$10,IF($R23="SS",data!$I$10,"")))))))</f>
        <v/>
      </c>
      <c r="X23" s="48"/>
      <c r="Y23" s="31"/>
      <c r="Z23" s="31"/>
      <c r="AA23" s="31"/>
      <c r="AB23" s="31"/>
      <c r="AC23" s="31"/>
      <c r="AD23" s="31"/>
      <c r="AE23" s="31"/>
    </row>
    <row r="24" spans="1:31" ht="12.75" x14ac:dyDescent="0.2">
      <c r="A24" s="265" t="s">
        <v>151</v>
      </c>
      <c r="B24" s="266"/>
      <c r="C24" s="267"/>
      <c r="D24" s="355"/>
      <c r="E24" s="356"/>
      <c r="F24" s="356"/>
      <c r="G24" s="356"/>
      <c r="H24" s="356"/>
      <c r="I24" s="356"/>
      <c r="J24" s="356"/>
      <c r="K24" s="356"/>
      <c r="L24" s="357"/>
      <c r="M24" s="28" t="str">
        <f>IF(OR(ISTEXT(O24),ISTEXT(P24)),MAX(M$19:M23)+1,"")</f>
        <v/>
      </c>
      <c r="N24" s="20"/>
      <c r="O24" s="21"/>
      <c r="P24" s="22"/>
      <c r="Q24" s="16"/>
      <c r="R24" s="20"/>
      <c r="S24" s="20"/>
      <c r="T24" s="20"/>
      <c r="U24" s="20"/>
      <c r="V24" s="20"/>
      <c r="W24" s="35" t="str">
        <f>IF(COUNTBLANK(O24:P24)&gt;0,"",IF($R24="IF",data!$D$10,IF($R24="I",data!$E$10,IF($R24="AF",data!$F$10,IF($R24="A1",data!$G$10,IF($R24="A2",data!$H$10,IF($R24="SS",data!$I$10,"")))))))</f>
        <v/>
      </c>
      <c r="X24" s="48"/>
      <c r="Y24" s="31"/>
      <c r="Z24" s="31"/>
      <c r="AA24" s="31"/>
      <c r="AB24" s="31"/>
      <c r="AC24" s="31"/>
      <c r="AD24" s="31"/>
      <c r="AE24" s="31"/>
    </row>
    <row r="25" spans="1:31" ht="12.75" x14ac:dyDescent="0.2">
      <c r="A25" s="265" t="s">
        <v>134</v>
      </c>
      <c r="B25" s="266"/>
      <c r="C25" s="267"/>
      <c r="D25" s="380"/>
      <c r="E25" s="381"/>
      <c r="F25" s="381"/>
      <c r="G25" s="381"/>
      <c r="H25" s="381"/>
      <c r="I25" s="381"/>
      <c r="J25" s="381"/>
      <c r="K25" s="381"/>
      <c r="L25" s="382"/>
      <c r="M25" s="28" t="str">
        <f>IF(OR(ISTEXT(O25),ISTEXT(P25)),MAX(M$19:M24)+1,"")</f>
        <v/>
      </c>
      <c r="N25" s="20"/>
      <c r="O25" s="21"/>
      <c r="P25" s="22"/>
      <c r="Q25" s="16"/>
      <c r="R25" s="20"/>
      <c r="S25" s="20"/>
      <c r="T25" s="20"/>
      <c r="U25" s="20"/>
      <c r="V25" s="20"/>
      <c r="W25" s="35" t="str">
        <f>IF(COUNTBLANK(O25:P25)&gt;0,"",IF($R25="IF",data!$D$10,IF($R25="I",data!$E$10,IF($R25="AF",data!$F$10,IF($R25="A1",data!$G$10,IF($R25="A2",data!$H$10,IF($R25="SS",data!$I$10,"")))))))</f>
        <v/>
      </c>
      <c r="X25" s="48"/>
      <c r="Y25" s="31"/>
      <c r="Z25" s="31"/>
      <c r="AA25" s="31"/>
      <c r="AB25" s="31"/>
      <c r="AC25" s="31"/>
      <c r="AD25" s="31"/>
      <c r="AE25" s="31"/>
    </row>
    <row r="26" spans="1:31" ht="12.75" customHeight="1" thickBot="1" x14ac:dyDescent="0.25">
      <c r="A26" s="271" t="s">
        <v>188</v>
      </c>
      <c r="B26" s="272"/>
      <c r="C26" s="272"/>
      <c r="D26" s="273"/>
      <c r="E26" s="387"/>
      <c r="F26" s="388"/>
      <c r="G26" s="388"/>
      <c r="H26" s="388"/>
      <c r="I26" s="388"/>
      <c r="J26" s="388"/>
      <c r="K26" s="388"/>
      <c r="L26" s="389"/>
      <c r="M26" s="28" t="str">
        <f>IF(OR(ISTEXT(O26),ISTEXT(P26)),MAX(M$19:M25)+1,"")</f>
        <v/>
      </c>
      <c r="N26" s="20"/>
      <c r="O26" s="21"/>
      <c r="P26" s="22"/>
      <c r="Q26" s="16"/>
      <c r="R26" s="20"/>
      <c r="S26" s="20"/>
      <c r="T26" s="20"/>
      <c r="U26" s="20"/>
      <c r="V26" s="20"/>
      <c r="W26" s="35" t="str">
        <f>IF(COUNTBLANK(O26:P26)&gt;0,"",IF($R26="IF",data!$D$10,IF($R26="I",data!$E$10,IF($R26="AF",data!$F$10,IF($R26="A1",data!$G$10,IF($R26="A2",data!$H$10,IF($R26="SS",data!$I$10,"")))))))</f>
        <v/>
      </c>
      <c r="X26" s="48"/>
      <c r="Y26" s="31"/>
      <c r="Z26" s="31"/>
      <c r="AA26" s="31"/>
      <c r="AB26" s="31"/>
      <c r="AC26" s="31"/>
      <c r="AD26" s="31"/>
      <c r="AE26" s="31"/>
    </row>
    <row r="27" spans="1:31" ht="12.75" x14ac:dyDescent="0.2">
      <c r="A27" s="216" t="s">
        <v>165</v>
      </c>
      <c r="B27" s="217"/>
      <c r="C27" s="217"/>
      <c r="D27" s="217"/>
      <c r="E27" s="217"/>
      <c r="F27" s="217"/>
      <c r="G27" s="217"/>
      <c r="H27" s="217"/>
      <c r="I27" s="217"/>
      <c r="J27" s="217"/>
      <c r="K27" s="217"/>
      <c r="L27" s="218"/>
      <c r="M27" s="28" t="str">
        <f>IF(OR(ISTEXT(O27),ISTEXT(P27)),MAX(M$19:M26)+1,"")</f>
        <v/>
      </c>
      <c r="N27" s="20"/>
      <c r="O27" s="21"/>
      <c r="P27" s="22"/>
      <c r="Q27" s="16"/>
      <c r="R27" s="20"/>
      <c r="S27" s="20"/>
      <c r="T27" s="20"/>
      <c r="U27" s="20"/>
      <c r="V27" s="20"/>
      <c r="W27" s="35" t="str">
        <f>IF(COUNTBLANK(O27:P27)&gt;0,"",IF($R27="IF",data!$D$10,IF($R27="I",data!$E$10,IF($R27="AF",data!$F$10,IF($R27="A1",data!$G$10,IF($R27="A2",data!$H$10,IF($R27="SS",data!$I$10,"")))))))</f>
        <v/>
      </c>
      <c r="X27" s="48"/>
      <c r="Y27" s="31"/>
      <c r="Z27" s="31"/>
      <c r="AA27" s="31"/>
      <c r="AB27" s="31"/>
      <c r="AC27" s="31"/>
      <c r="AD27" s="31"/>
      <c r="AE27" s="31"/>
    </row>
    <row r="28" spans="1:31" ht="12.75" customHeight="1" thickBot="1" x14ac:dyDescent="0.25">
      <c r="A28" s="219"/>
      <c r="B28" s="220"/>
      <c r="C28" s="220"/>
      <c r="D28" s="220"/>
      <c r="E28" s="220"/>
      <c r="F28" s="220"/>
      <c r="G28" s="220"/>
      <c r="H28" s="220"/>
      <c r="I28" s="220"/>
      <c r="J28" s="220"/>
      <c r="K28" s="220"/>
      <c r="L28" s="221"/>
      <c r="M28" s="28" t="str">
        <f>IF(OR(ISTEXT(O28),ISTEXT(P28)),MAX(M$19:M27)+1,"")</f>
        <v/>
      </c>
      <c r="N28" s="23"/>
      <c r="O28" s="24"/>
      <c r="P28" s="25"/>
      <c r="Q28" s="17"/>
      <c r="R28" s="23"/>
      <c r="S28" s="23"/>
      <c r="T28" s="23"/>
      <c r="U28" s="23"/>
      <c r="V28" s="23"/>
      <c r="W28" s="35" t="str">
        <f>IF(COUNTBLANK(O28:P28)&gt;0,"",IF($R28="IF",data!$D$10,IF($R28="I",data!$E$10,IF($R28="AF",data!$F$10,IF($R28="A1",data!$G$10,IF($R28="A2",data!$H$10,IF($R28="SS",data!$I$10,"")))))))</f>
        <v/>
      </c>
      <c r="X28" s="49"/>
      <c r="Y28" s="31"/>
      <c r="Z28" s="31"/>
      <c r="AA28" s="31"/>
      <c r="AB28" s="31"/>
      <c r="AC28" s="31"/>
      <c r="AD28" s="31"/>
      <c r="AE28" s="31"/>
    </row>
    <row r="29" spans="1:31" ht="10.5" customHeight="1" x14ac:dyDescent="0.2">
      <c r="A29" s="281" t="s">
        <v>292</v>
      </c>
      <c r="B29" s="361"/>
      <c r="C29" s="361"/>
      <c r="D29" s="361"/>
      <c r="E29" s="361"/>
      <c r="F29" s="361"/>
      <c r="G29" s="361"/>
      <c r="H29" s="361"/>
      <c r="I29" s="361"/>
      <c r="J29" s="361"/>
      <c r="K29" s="361"/>
      <c r="L29" s="362"/>
      <c r="M29" s="134"/>
      <c r="N29" s="143" t="s">
        <v>99</v>
      </c>
      <c r="O29" s="144"/>
      <c r="P29" s="145"/>
      <c r="Q29" s="151" t="str">
        <f>IF(COUNTA(P19:P28)=0,"",COUNTA(P19:P128))</f>
        <v/>
      </c>
      <c r="R29" s="176" t="str">
        <f>data!$C$57</f>
        <v>Sub-total of fees in C$</v>
      </c>
      <c r="S29" s="177"/>
      <c r="T29" s="177"/>
      <c r="U29" s="177"/>
      <c r="V29" s="178"/>
      <c r="W29" s="184" t="str">
        <f>IF(SUM(W19:W28)=0,"",SUM(W19:W28))</f>
        <v/>
      </c>
      <c r="X29" s="173"/>
      <c r="Y29" s="31"/>
      <c r="Z29" s="31"/>
      <c r="AA29" s="31"/>
      <c r="AB29" s="31"/>
      <c r="AC29" s="31"/>
      <c r="AD29" s="31"/>
      <c r="AE29" s="31"/>
    </row>
    <row r="30" spans="1:31" ht="13.5" customHeight="1" thickBot="1" x14ac:dyDescent="0.25">
      <c r="A30" s="363"/>
      <c r="B30" s="364"/>
      <c r="C30" s="364"/>
      <c r="D30" s="364"/>
      <c r="E30" s="364"/>
      <c r="F30" s="364"/>
      <c r="G30" s="364"/>
      <c r="H30" s="364"/>
      <c r="I30" s="364"/>
      <c r="J30" s="364"/>
      <c r="K30" s="364"/>
      <c r="L30" s="365"/>
      <c r="M30" s="135"/>
      <c r="N30" s="146"/>
      <c r="O30" s="147"/>
      <c r="P30" s="148"/>
      <c r="Q30" s="152"/>
      <c r="R30" s="179"/>
      <c r="S30" s="180"/>
      <c r="T30" s="180"/>
      <c r="U30" s="180"/>
      <c r="V30" s="181"/>
      <c r="W30" s="185"/>
      <c r="X30" s="175"/>
      <c r="Y30" s="31"/>
      <c r="Z30" s="31"/>
      <c r="AA30" s="31"/>
      <c r="AB30" s="31"/>
      <c r="AC30" s="31"/>
      <c r="AD30" s="31"/>
      <c r="AE30" s="31"/>
    </row>
    <row r="31" spans="1:31" ht="12" customHeight="1" thickBot="1" x14ac:dyDescent="0.25">
      <c r="A31" s="201" t="s">
        <v>65</v>
      </c>
      <c r="B31" s="202"/>
      <c r="C31" s="202"/>
      <c r="D31" s="202"/>
      <c r="E31" s="203"/>
      <c r="F31" s="352"/>
      <c r="G31" s="353"/>
      <c r="H31" s="353"/>
      <c r="I31" s="353"/>
      <c r="J31" s="353"/>
      <c r="K31" s="353"/>
      <c r="L31" s="354"/>
      <c r="M31" s="135"/>
      <c r="N31" s="137" t="s">
        <v>60</v>
      </c>
      <c r="O31" s="138"/>
      <c r="P31" s="139"/>
      <c r="Q31" s="138"/>
      <c r="R31" s="138"/>
      <c r="S31" s="138"/>
      <c r="T31" s="138"/>
      <c r="U31" s="138"/>
      <c r="V31" s="138"/>
      <c r="W31" s="138"/>
      <c r="X31" s="140"/>
      <c r="Y31" s="31"/>
      <c r="Z31" s="31"/>
      <c r="AA31" s="31"/>
      <c r="AB31" s="31"/>
      <c r="AC31" s="31"/>
      <c r="AD31" s="31"/>
      <c r="AE31" s="31"/>
    </row>
    <row r="32" spans="1:31" ht="13.5" customHeight="1" thickBot="1" x14ac:dyDescent="0.25">
      <c r="A32" s="207" t="s">
        <v>66</v>
      </c>
      <c r="B32" s="208"/>
      <c r="C32" s="208"/>
      <c r="D32" s="208"/>
      <c r="E32" s="209"/>
      <c r="F32" s="210" t="s">
        <v>226</v>
      </c>
      <c r="G32" s="211"/>
      <c r="H32" s="211"/>
      <c r="I32" s="211"/>
      <c r="J32" s="211"/>
      <c r="K32" s="211"/>
      <c r="L32" s="212"/>
      <c r="M32" s="135"/>
      <c r="N32" s="158" t="s">
        <v>240</v>
      </c>
      <c r="O32" s="149" t="s">
        <v>241</v>
      </c>
      <c r="P32" s="149" t="s">
        <v>171</v>
      </c>
      <c r="Q32" s="141" t="s">
        <v>214</v>
      </c>
      <c r="R32" s="149" t="s">
        <v>221</v>
      </c>
      <c r="S32" s="187" t="s">
        <v>264</v>
      </c>
      <c r="T32" s="188"/>
      <c r="U32" s="188"/>
      <c r="V32" s="189"/>
      <c r="W32" s="149" t="s">
        <v>242</v>
      </c>
      <c r="X32" s="182" t="s">
        <v>180</v>
      </c>
      <c r="Y32" s="31"/>
      <c r="Z32" s="31"/>
      <c r="AA32" s="31"/>
      <c r="AB32" s="31"/>
      <c r="AC32" s="31"/>
      <c r="AD32" s="31"/>
      <c r="AE32" s="31"/>
    </row>
    <row r="33" spans="1:31" ht="12.75" customHeight="1" thickBot="1" x14ac:dyDescent="0.25">
      <c r="A33" s="216" t="s">
        <v>318</v>
      </c>
      <c r="B33" s="217"/>
      <c r="C33" s="217"/>
      <c r="D33" s="217"/>
      <c r="E33" s="217"/>
      <c r="F33" s="217"/>
      <c r="G33" s="217"/>
      <c r="H33" s="217"/>
      <c r="I33" s="217"/>
      <c r="J33" s="217"/>
      <c r="K33" s="217"/>
      <c r="L33" s="218"/>
      <c r="M33" s="136"/>
      <c r="N33" s="159"/>
      <c r="O33" s="150"/>
      <c r="P33" s="150"/>
      <c r="Q33" s="142"/>
      <c r="R33" s="150"/>
      <c r="S33" s="40">
        <v>1</v>
      </c>
      <c r="T33" s="40">
        <v>2</v>
      </c>
      <c r="U33" s="40">
        <v>3</v>
      </c>
      <c r="V33" s="40">
        <v>4</v>
      </c>
      <c r="W33" s="150"/>
      <c r="X33" s="183"/>
      <c r="Y33" s="31"/>
      <c r="Z33" s="31"/>
      <c r="AA33" s="31"/>
      <c r="AB33" s="31"/>
      <c r="AC33" s="31"/>
      <c r="AD33" s="31"/>
      <c r="AE33" s="31"/>
    </row>
    <row r="34" spans="1:31" ht="12.75" x14ac:dyDescent="0.2">
      <c r="A34" s="219"/>
      <c r="B34" s="220"/>
      <c r="C34" s="220"/>
      <c r="D34" s="220"/>
      <c r="E34" s="220"/>
      <c r="F34" s="220"/>
      <c r="G34" s="220"/>
      <c r="H34" s="220"/>
      <c r="I34" s="220"/>
      <c r="J34" s="220"/>
      <c r="K34" s="220"/>
      <c r="L34" s="221"/>
      <c r="M34" s="28" t="str">
        <f>IF(OR(ISTEXT(O34),ISTEXT(P34)),MAX(M$19:M33)+1,"")</f>
        <v/>
      </c>
      <c r="N34" s="20"/>
      <c r="O34" s="21"/>
      <c r="P34" s="22"/>
      <c r="Q34" s="16"/>
      <c r="R34" s="26"/>
      <c r="S34" s="20"/>
      <c r="T34" s="20"/>
      <c r="U34" s="20"/>
      <c r="V34" s="20"/>
      <c r="W34" s="35" t="str">
        <f>IF(COUNTBLANK(O34:P34)&gt;0,"",IF($R34="IF",data!$D$28,IF($R34="I",data!$E$28,IF($R34="AF",data!$F$28,IF($R34="A1",data!$G$28,IF($R34="A2",data!$H$28,IF($R34="SS",data!$I$28,"")))))))</f>
        <v/>
      </c>
      <c r="X34" s="48"/>
      <c r="Y34" s="31"/>
      <c r="Z34" s="31"/>
      <c r="AA34" s="31"/>
      <c r="AB34" s="31"/>
      <c r="AC34" s="31"/>
      <c r="AD34" s="31"/>
      <c r="AE34" s="31"/>
    </row>
    <row r="35" spans="1:31" ht="12.75" x14ac:dyDescent="0.2">
      <c r="A35" s="222"/>
      <c r="B35" s="223"/>
      <c r="C35" s="224" t="s">
        <v>42</v>
      </c>
      <c r="D35" s="225"/>
      <c r="E35" s="226"/>
      <c r="F35" s="227" t="s">
        <v>43</v>
      </c>
      <c r="G35" s="228"/>
      <c r="H35" s="229"/>
      <c r="I35" s="227" t="s">
        <v>124</v>
      </c>
      <c r="J35" s="228"/>
      <c r="K35" s="228"/>
      <c r="L35" s="230"/>
      <c r="M35" s="28" t="str">
        <f>IF(OR(ISTEXT(O35),ISTEXT(P35)),MAX(M$19:M34)+1,"")</f>
        <v/>
      </c>
      <c r="N35" s="20"/>
      <c r="O35" s="21"/>
      <c r="P35" s="22"/>
      <c r="Q35" s="16"/>
      <c r="R35" s="26"/>
      <c r="S35" s="20"/>
      <c r="T35" s="20"/>
      <c r="U35" s="20"/>
      <c r="V35" s="20"/>
      <c r="W35" s="35" t="str">
        <f>IF(COUNTBLANK(O35:P35)&gt;0,"",IF($R35="IF",data!$D$28,IF($R35="I",data!$E$28,IF($R35="AF",data!$F$28,IF($R35="A1",data!$G$28,IF($R35="A2",data!$H$28,IF($R35="SS",data!$I$28,"")))))))</f>
        <v/>
      </c>
      <c r="X35" s="48"/>
      <c r="Y35" s="31"/>
      <c r="Z35" s="31"/>
      <c r="AA35" s="31"/>
      <c r="AB35" s="31"/>
      <c r="AC35" s="31"/>
      <c r="AD35" s="31"/>
      <c r="AE35" s="31"/>
    </row>
    <row r="36" spans="1:31" ht="12.75" x14ac:dyDescent="0.2">
      <c r="A36" s="222" t="s">
        <v>236</v>
      </c>
      <c r="B36" s="223"/>
      <c r="C36" s="358"/>
      <c r="D36" s="379"/>
      <c r="E36" s="396"/>
      <c r="F36" s="321"/>
      <c r="G36" s="322"/>
      <c r="H36" s="390"/>
      <c r="I36" s="321"/>
      <c r="J36" s="322"/>
      <c r="K36" s="322"/>
      <c r="L36" s="323"/>
      <c r="M36" s="28" t="str">
        <f>IF(OR(ISTEXT(O36),ISTEXT(P36)),MAX(M$19:M35)+1,"")</f>
        <v/>
      </c>
      <c r="N36" s="20"/>
      <c r="O36" s="21"/>
      <c r="P36" s="22"/>
      <c r="Q36" s="16"/>
      <c r="R36" s="26"/>
      <c r="S36" s="20"/>
      <c r="T36" s="20"/>
      <c r="U36" s="20"/>
      <c r="V36" s="20"/>
      <c r="W36" s="35" t="str">
        <f>IF(COUNTBLANK(O36:P36)&gt;0,"",IF($R36="IF",data!$D$28,IF($R36="I",data!$E$28,IF($R36="AF",data!$F$28,IF($R36="A1",data!$G$28,IF($R36="A2",data!$H$28,IF($R36="SS",data!$I$28,"")))))))</f>
        <v/>
      </c>
      <c r="X36" s="48"/>
      <c r="Y36" s="31"/>
      <c r="Z36" s="31"/>
      <c r="AA36" s="31"/>
      <c r="AB36" s="31"/>
      <c r="AC36" s="31"/>
      <c r="AD36" s="31"/>
      <c r="AE36" s="31"/>
    </row>
    <row r="37" spans="1:31" ht="12.75" x14ac:dyDescent="0.2">
      <c r="A37" s="222" t="s">
        <v>237</v>
      </c>
      <c r="B37" s="223"/>
      <c r="C37" s="358"/>
      <c r="D37" s="379"/>
      <c r="E37" s="396"/>
      <c r="F37" s="321"/>
      <c r="G37" s="322"/>
      <c r="H37" s="390"/>
      <c r="I37" s="321"/>
      <c r="J37" s="322"/>
      <c r="K37" s="322"/>
      <c r="L37" s="323"/>
      <c r="M37" s="28" t="str">
        <f>IF(OR(ISTEXT(O37),ISTEXT(P37)),MAX(M$19:M36)+1,"")</f>
        <v/>
      </c>
      <c r="N37" s="20"/>
      <c r="O37" s="21"/>
      <c r="P37" s="22"/>
      <c r="Q37" s="16"/>
      <c r="R37" s="26"/>
      <c r="S37" s="20"/>
      <c r="T37" s="20"/>
      <c r="U37" s="20"/>
      <c r="V37" s="20"/>
      <c r="W37" s="35" t="str">
        <f>IF(COUNTBLANK(O37:P37)&gt;0,"",IF($R37="IF",data!$D$28,IF($R37="I",data!$E$28,IF($R37="AF",data!$F$28,IF($R37="A1",data!$G$28,IF($R37="A2",data!$H$28,IF($R37="SS",data!$I$28,"")))))))</f>
        <v/>
      </c>
      <c r="X37" s="48"/>
      <c r="Y37" s="31"/>
      <c r="Z37" s="31"/>
      <c r="AA37" s="31"/>
      <c r="AB37" s="31"/>
      <c r="AC37" s="31"/>
      <c r="AD37" s="31"/>
      <c r="AE37" s="31"/>
    </row>
    <row r="38" spans="1:31" ht="12.75" x14ac:dyDescent="0.2">
      <c r="A38" s="222" t="s">
        <v>238</v>
      </c>
      <c r="B38" s="223"/>
      <c r="C38" s="358"/>
      <c r="D38" s="379"/>
      <c r="E38" s="396"/>
      <c r="F38" s="321"/>
      <c r="G38" s="322"/>
      <c r="H38" s="390"/>
      <c r="I38" s="321"/>
      <c r="J38" s="322"/>
      <c r="K38" s="322"/>
      <c r="L38" s="323"/>
      <c r="M38" s="28" t="str">
        <f>IF(OR(ISTEXT(O38),ISTEXT(P38)),MAX(M$19:M37)+1,"")</f>
        <v/>
      </c>
      <c r="N38" s="20"/>
      <c r="O38" s="21"/>
      <c r="P38" s="22"/>
      <c r="Q38" s="16"/>
      <c r="R38" s="26"/>
      <c r="S38" s="20"/>
      <c r="T38" s="20"/>
      <c r="U38" s="20"/>
      <c r="V38" s="20"/>
      <c r="W38" s="35" t="str">
        <f>IF(COUNTBLANK(O38:P38)&gt;0,"",IF($R38="IF",data!$D$28,IF($R38="I",data!$E$28,IF($R38="AF",data!$F$28,IF($R38="A1",data!$G$28,IF($R38="A2",data!$H$28,IF($R38="SS",data!$I$28,"")))))))</f>
        <v/>
      </c>
      <c r="X38" s="48"/>
      <c r="Y38" s="31"/>
      <c r="Z38" s="31"/>
      <c r="AA38" s="31"/>
      <c r="AB38" s="31"/>
      <c r="AC38" s="31"/>
      <c r="AD38" s="31"/>
      <c r="AE38" s="31"/>
    </row>
    <row r="39" spans="1:31" ht="12.75" x14ac:dyDescent="0.2">
      <c r="A39" s="222" t="s">
        <v>239</v>
      </c>
      <c r="B39" s="223"/>
      <c r="C39" s="358"/>
      <c r="D39" s="379"/>
      <c r="E39" s="396"/>
      <c r="F39" s="321"/>
      <c r="G39" s="322"/>
      <c r="H39" s="390"/>
      <c r="I39" s="321"/>
      <c r="J39" s="322"/>
      <c r="K39" s="322"/>
      <c r="L39" s="323"/>
      <c r="M39" s="28" t="str">
        <f>IF(OR(ISTEXT(O39),ISTEXT(P39)),MAX(M$19:M38)+1,"")</f>
        <v/>
      </c>
      <c r="N39" s="20"/>
      <c r="O39" s="21"/>
      <c r="P39" s="22"/>
      <c r="Q39" s="16"/>
      <c r="R39" s="26"/>
      <c r="S39" s="20"/>
      <c r="T39" s="20"/>
      <c r="U39" s="20"/>
      <c r="V39" s="20"/>
      <c r="W39" s="35" t="str">
        <f>IF(COUNTBLANK(O39:P39)&gt;0,"",IF($R39="IF",data!$D$28,IF($R39="I",data!$E$28,IF($R39="AF",data!$F$28,IF($R39="A1",data!$G$28,IF($R39="A2",data!$H$28,IF($R39="SS",data!$I$28,"")))))))</f>
        <v/>
      </c>
      <c r="X39" s="48"/>
      <c r="Y39" s="31"/>
      <c r="Z39" s="31"/>
      <c r="AA39" s="31"/>
      <c r="AB39" s="31"/>
      <c r="AC39" s="31"/>
      <c r="AD39" s="31"/>
      <c r="AE39" s="31"/>
    </row>
    <row r="40" spans="1:31" ht="12.75" x14ac:dyDescent="0.2">
      <c r="A40" s="222" t="s">
        <v>229</v>
      </c>
      <c r="B40" s="240"/>
      <c r="C40" s="240"/>
      <c r="D40" s="240"/>
      <c r="E40" s="240"/>
      <c r="F40" s="240"/>
      <c r="G40" s="240"/>
      <c r="H40" s="240"/>
      <c r="I40" s="223"/>
      <c r="J40" s="321"/>
      <c r="K40" s="322"/>
      <c r="L40" s="323"/>
      <c r="M40" s="28" t="str">
        <f>IF(OR(ISTEXT(O40),ISTEXT(P40)),MAX(M$19:M39)+1,"")</f>
        <v/>
      </c>
      <c r="N40" s="20"/>
      <c r="O40" s="21"/>
      <c r="P40" s="22"/>
      <c r="Q40" s="16"/>
      <c r="R40" s="26"/>
      <c r="S40" s="20"/>
      <c r="T40" s="20"/>
      <c r="U40" s="20"/>
      <c r="V40" s="20"/>
      <c r="W40" s="35" t="str">
        <f>IF(COUNTBLANK(O40:P40)&gt;0,"",IF($R40="IF",data!$D$28,IF($R40="I",data!$E$28,IF($R40="AF",data!$F$28,IF($R40="A1",data!$G$28,IF($R40="A2",data!$H$28,IF($R40="SS",data!$I$28,"")))))))</f>
        <v/>
      </c>
      <c r="X40" s="48"/>
      <c r="Y40" s="31"/>
      <c r="Z40" s="31"/>
      <c r="AA40" s="31"/>
      <c r="AB40" s="31"/>
      <c r="AC40" s="31"/>
      <c r="AD40" s="31"/>
      <c r="AE40" s="31"/>
    </row>
    <row r="41" spans="1:31" ht="12.75" x14ac:dyDescent="0.2">
      <c r="A41" s="222" t="s">
        <v>62</v>
      </c>
      <c r="B41" s="240"/>
      <c r="C41" s="240"/>
      <c r="D41" s="240"/>
      <c r="E41" s="223"/>
      <c r="F41" s="308"/>
      <c r="G41" s="309"/>
      <c r="H41" s="309"/>
      <c r="I41" s="309"/>
      <c r="J41" s="309"/>
      <c r="K41" s="309"/>
      <c r="L41" s="310"/>
      <c r="M41" s="28" t="str">
        <f>IF(OR(ISTEXT(O41),ISTEXT(P41)),MAX(M$19:M40)+1,"")</f>
        <v/>
      </c>
      <c r="N41" s="20"/>
      <c r="O41" s="21"/>
      <c r="P41" s="22"/>
      <c r="Q41" s="16"/>
      <c r="R41" s="26"/>
      <c r="S41" s="20"/>
      <c r="T41" s="20"/>
      <c r="U41" s="20"/>
      <c r="V41" s="20"/>
      <c r="W41" s="35" t="str">
        <f>IF(COUNTBLANK(O41:P41)&gt;0,"",IF($R41="IF",data!$D$28,IF($R41="I",data!$E$28,IF($R41="AF",data!$F$28,IF($R41="A1",data!$G$28,IF($R41="A2",data!$H$28,IF($R41="SS",data!$I$28,"")))))))</f>
        <v/>
      </c>
      <c r="X41" s="48"/>
      <c r="Y41" s="31"/>
      <c r="Z41" s="31"/>
      <c r="AA41" s="31"/>
      <c r="AB41" s="31"/>
      <c r="AC41" s="31"/>
      <c r="AD41" s="31"/>
      <c r="AE41" s="31"/>
    </row>
    <row r="42" spans="1:31" ht="12.75" x14ac:dyDescent="0.2">
      <c r="A42" s="302" t="s">
        <v>76</v>
      </c>
      <c r="B42" s="303"/>
      <c r="C42" s="303"/>
      <c r="D42" s="303"/>
      <c r="E42" s="304"/>
      <c r="F42" s="308"/>
      <c r="G42" s="309"/>
      <c r="H42" s="309"/>
      <c r="I42" s="309"/>
      <c r="J42" s="309"/>
      <c r="K42" s="309"/>
      <c r="L42" s="310"/>
      <c r="M42" s="28" t="str">
        <f>IF(OR(ISTEXT(O42),ISTEXT(P42)),MAX(M$19:M41)+1,"")</f>
        <v/>
      </c>
      <c r="N42" s="20"/>
      <c r="O42" s="21"/>
      <c r="P42" s="22"/>
      <c r="Q42" s="16"/>
      <c r="R42" s="26"/>
      <c r="S42" s="20"/>
      <c r="T42" s="20"/>
      <c r="U42" s="20"/>
      <c r="V42" s="20"/>
      <c r="W42" s="35" t="str">
        <f>IF(COUNTBLANK(O42:P42)&gt;0,"",IF($R42="IF",data!$D$28,IF($R42="I",data!$E$28,IF($R42="AF",data!$F$28,IF($R42="A1",data!$G$28,IF($R42="A2",data!$H$28,IF($R42="SS",data!$I$28,"")))))))</f>
        <v/>
      </c>
      <c r="X42" s="48"/>
      <c r="Y42" s="31"/>
      <c r="Z42" s="31"/>
      <c r="AA42" s="31"/>
      <c r="AB42" s="31"/>
      <c r="AC42" s="31"/>
      <c r="AD42" s="31"/>
      <c r="AE42" s="31"/>
    </row>
    <row r="43" spans="1:31" ht="12.75" x14ac:dyDescent="0.2">
      <c r="A43" s="302" t="s">
        <v>166</v>
      </c>
      <c r="B43" s="303"/>
      <c r="C43" s="303"/>
      <c r="D43" s="303"/>
      <c r="E43" s="304"/>
      <c r="F43" s="308"/>
      <c r="G43" s="309"/>
      <c r="H43" s="309"/>
      <c r="I43" s="309"/>
      <c r="J43" s="309"/>
      <c r="K43" s="309"/>
      <c r="L43" s="310"/>
      <c r="M43" s="28" t="str">
        <f>IF(OR(ISTEXT(O43),ISTEXT(P43)),MAX(M$19:M42)+1,"")</f>
        <v/>
      </c>
      <c r="N43" s="20"/>
      <c r="O43" s="21"/>
      <c r="P43" s="22"/>
      <c r="Q43" s="16"/>
      <c r="R43" s="26"/>
      <c r="S43" s="20"/>
      <c r="T43" s="20"/>
      <c r="U43" s="20"/>
      <c r="V43" s="20"/>
      <c r="W43" s="35" t="str">
        <f>IF(COUNTBLANK(O43:P43)&gt;0,"",IF($R43="IF",data!$D$28,IF($R43="I",data!$E$28,IF($R43="AF",data!$F$28,IF($R43="A1",data!$G$28,IF($R43="A2",data!$H$28,IF($R43="SS",data!$I$28,"")))))))</f>
        <v/>
      </c>
      <c r="X43" s="48"/>
      <c r="Y43" s="31"/>
      <c r="Z43" s="31"/>
      <c r="AA43" s="31"/>
      <c r="AB43" s="31"/>
      <c r="AC43" s="31"/>
      <c r="AD43" s="31"/>
      <c r="AE43" s="31"/>
    </row>
    <row r="44" spans="1:31" ht="12.75" x14ac:dyDescent="0.2">
      <c r="A44" s="302" t="s">
        <v>131</v>
      </c>
      <c r="B44" s="303"/>
      <c r="C44" s="304"/>
      <c r="D44" s="308"/>
      <c r="E44" s="309"/>
      <c r="F44" s="309"/>
      <c r="G44" s="309"/>
      <c r="H44" s="309"/>
      <c r="I44" s="309"/>
      <c r="J44" s="309"/>
      <c r="K44" s="309"/>
      <c r="L44" s="310"/>
      <c r="M44" s="28" t="str">
        <f>IF(OR(ISTEXT(O44),ISTEXT(P44)),MAX(M$19:M43)+1,"")</f>
        <v/>
      </c>
      <c r="N44" s="20"/>
      <c r="O44" s="21"/>
      <c r="P44" s="22"/>
      <c r="Q44" s="16"/>
      <c r="R44" s="26"/>
      <c r="S44" s="20"/>
      <c r="T44" s="20"/>
      <c r="U44" s="20"/>
      <c r="V44" s="20"/>
      <c r="W44" s="35" t="str">
        <f>IF(COUNTBLANK(O44:P44)&gt;0,"",IF($R44="IF",data!$D$28,IF($R44="I",data!$E$28,IF($R44="AF",data!$F$28,IF($R44="A1",data!$G$28,IF($R44="A2",data!$H$28,IF($R44="SS",data!$I$28,"")))))))</f>
        <v/>
      </c>
      <c r="X44" s="48"/>
      <c r="Y44" s="31"/>
      <c r="Z44" s="31"/>
      <c r="AA44" s="31"/>
      <c r="AB44" s="31"/>
      <c r="AC44" s="31"/>
      <c r="AD44" s="31"/>
      <c r="AE44" s="31"/>
    </row>
    <row r="45" spans="1:31" ht="12.75" x14ac:dyDescent="0.2">
      <c r="A45" s="302" t="s">
        <v>177</v>
      </c>
      <c r="B45" s="303"/>
      <c r="C45" s="304"/>
      <c r="D45" s="305"/>
      <c r="E45" s="306"/>
      <c r="F45" s="306"/>
      <c r="G45" s="306"/>
      <c r="H45" s="306"/>
      <c r="I45" s="306"/>
      <c r="J45" s="306"/>
      <c r="K45" s="306"/>
      <c r="L45" s="307"/>
      <c r="M45" s="28" t="str">
        <f>IF(OR(ISTEXT(O45),ISTEXT(P45)),MAX(M$19:M44)+1,"")</f>
        <v/>
      </c>
      <c r="N45" s="20"/>
      <c r="O45" s="21"/>
      <c r="P45" s="22"/>
      <c r="Q45" s="16"/>
      <c r="R45" s="26"/>
      <c r="S45" s="20"/>
      <c r="T45" s="20"/>
      <c r="U45" s="20"/>
      <c r="V45" s="20"/>
      <c r="W45" s="35" t="str">
        <f>IF(COUNTBLANK(O45:P45)&gt;0,"",IF($R45="IF",data!$D$28,IF($R45="I",data!$E$28,IF($R45="AF",data!$F$28,IF($R45="A1",data!$G$28,IF($R45="A2",data!$H$28,IF($R45="SS",data!$I$28,"")))))))</f>
        <v/>
      </c>
      <c r="X45" s="48"/>
      <c r="Y45" s="31"/>
      <c r="Z45" s="31"/>
      <c r="AA45" s="31"/>
      <c r="AB45" s="31"/>
      <c r="AC45" s="31"/>
      <c r="AD45" s="31"/>
      <c r="AE45" s="31"/>
    </row>
    <row r="46" spans="1:31" ht="12.75" x14ac:dyDescent="0.2">
      <c r="A46" s="302" t="s">
        <v>178</v>
      </c>
      <c r="B46" s="303"/>
      <c r="C46" s="304"/>
      <c r="D46" s="308"/>
      <c r="E46" s="309"/>
      <c r="F46" s="309"/>
      <c r="G46" s="320"/>
      <c r="H46" s="227" t="s">
        <v>212</v>
      </c>
      <c r="I46" s="229"/>
      <c r="J46" s="317"/>
      <c r="K46" s="318"/>
      <c r="L46" s="319"/>
      <c r="M46" s="28" t="str">
        <f>IF(OR(ISTEXT(O46),ISTEXT(P46)),MAX(M$19:M45)+1,"")</f>
        <v/>
      </c>
      <c r="N46" s="20"/>
      <c r="O46" s="21"/>
      <c r="P46" s="22"/>
      <c r="Q46" s="16"/>
      <c r="R46" s="26"/>
      <c r="S46" s="20"/>
      <c r="T46" s="20"/>
      <c r="U46" s="20"/>
      <c r="V46" s="20"/>
      <c r="W46" s="35" t="str">
        <f>IF(COUNTBLANK(O46:P46)&gt;0,"",IF($R46="IF",data!$D$28,IF($R46="I",data!$E$28,IF($R46="AF",data!$F$28,IF($R46="A1",data!$G$28,IF($R46="A2",data!$H$28,IF($R46="SS",data!$I$28,"")))))))</f>
        <v/>
      </c>
      <c r="X46" s="48"/>
      <c r="Y46" s="31"/>
      <c r="Z46" s="31"/>
      <c r="AA46" s="31"/>
      <c r="AB46" s="31"/>
      <c r="AC46" s="31"/>
      <c r="AD46" s="31"/>
      <c r="AE46" s="31"/>
    </row>
    <row r="47" spans="1:31" ht="12.75" x14ac:dyDescent="0.2">
      <c r="A47" s="302" t="s">
        <v>133</v>
      </c>
      <c r="B47" s="303"/>
      <c r="C47" s="304"/>
      <c r="D47" s="308"/>
      <c r="E47" s="309"/>
      <c r="F47" s="309"/>
      <c r="G47" s="309"/>
      <c r="H47" s="309"/>
      <c r="I47" s="309"/>
      <c r="J47" s="309"/>
      <c r="K47" s="309"/>
      <c r="L47" s="310"/>
      <c r="M47" s="28" t="str">
        <f>IF(OR(ISTEXT(O47),ISTEXT(P47)),MAX(M$19:M46)+1,"")</f>
        <v/>
      </c>
      <c r="N47" s="20"/>
      <c r="O47" s="21"/>
      <c r="P47" s="22"/>
      <c r="Q47" s="16"/>
      <c r="R47" s="26"/>
      <c r="S47" s="20"/>
      <c r="T47" s="20"/>
      <c r="U47" s="20"/>
      <c r="V47" s="20"/>
      <c r="W47" s="35" t="str">
        <f>IF(COUNTBLANK(O47:P47)&gt;0,"",IF($R47="IF",data!$D$28,IF($R47="I",data!$E$28,IF($R47="AF",data!$F$28,IF($R47="A1",data!$G$28,IF($R47="A2",data!$H$28,IF($R47="SS",data!$I$28,"")))))))</f>
        <v/>
      </c>
      <c r="X47" s="48"/>
      <c r="Y47" s="31"/>
      <c r="Z47" s="31"/>
      <c r="AA47" s="31"/>
      <c r="AB47" s="31"/>
      <c r="AC47" s="31"/>
      <c r="AD47" s="31"/>
      <c r="AE47" s="31"/>
    </row>
    <row r="48" spans="1:31" ht="12.75" x14ac:dyDescent="0.2">
      <c r="A48" s="302" t="s">
        <v>151</v>
      </c>
      <c r="B48" s="303"/>
      <c r="C48" s="304"/>
      <c r="D48" s="308"/>
      <c r="E48" s="309"/>
      <c r="F48" s="309"/>
      <c r="G48" s="309"/>
      <c r="H48" s="309"/>
      <c r="I48" s="309"/>
      <c r="J48" s="309"/>
      <c r="K48" s="309"/>
      <c r="L48" s="310"/>
      <c r="M48" s="28" t="str">
        <f>IF(OR(ISTEXT(O48),ISTEXT(P48)),MAX(M$19:M47)+1,"")</f>
        <v/>
      </c>
      <c r="N48" s="20"/>
      <c r="O48" s="21"/>
      <c r="P48" s="22"/>
      <c r="Q48" s="16"/>
      <c r="R48" s="26"/>
      <c r="S48" s="20"/>
      <c r="T48" s="20"/>
      <c r="U48" s="20"/>
      <c r="V48" s="20"/>
      <c r="W48" s="35" t="str">
        <f>IF(COUNTBLANK(O48:P48)&gt;0,"",IF($R48="IF",data!$D$28,IF($R48="I",data!$E$28,IF($R48="AF",data!$F$28,IF($R48="A1",data!$G$28,IF($R48="A2",data!$H$28,IF($R48="SS",data!$I$28,"")))))))</f>
        <v/>
      </c>
      <c r="X48" s="48"/>
      <c r="Y48" s="31"/>
      <c r="Z48" s="31"/>
      <c r="AA48" s="31"/>
      <c r="AB48" s="31"/>
      <c r="AC48" s="31"/>
      <c r="AD48" s="31"/>
      <c r="AE48" s="31"/>
    </row>
    <row r="49" spans="1:31" ht="12.75" customHeight="1" x14ac:dyDescent="0.2">
      <c r="A49" s="302" t="s">
        <v>134</v>
      </c>
      <c r="B49" s="303"/>
      <c r="C49" s="304"/>
      <c r="D49" s="305"/>
      <c r="E49" s="306"/>
      <c r="F49" s="306"/>
      <c r="G49" s="306"/>
      <c r="H49" s="306"/>
      <c r="I49" s="306"/>
      <c r="J49" s="306"/>
      <c r="K49" s="306"/>
      <c r="L49" s="307"/>
      <c r="M49" s="28" t="str">
        <f>IF(OR(ISTEXT(O49),ISTEXT(P49)),MAX(M$19:M48)+1,"")</f>
        <v/>
      </c>
      <c r="N49" s="20"/>
      <c r="O49" s="21"/>
      <c r="P49" s="22"/>
      <c r="Q49" s="16"/>
      <c r="R49" s="26"/>
      <c r="S49" s="20"/>
      <c r="T49" s="20"/>
      <c r="U49" s="20"/>
      <c r="V49" s="20"/>
      <c r="W49" s="35" t="str">
        <f>IF(COUNTBLANK(O49:P49)&gt;0,"",IF($R49="IF",data!$D$28,IF($R49="I",data!$E$28,IF($R49="AF",data!$F$28,IF($R49="A1",data!$G$28,IF($R49="A2",data!$H$28,IF($R49="SS",data!$I$28,"")))))))</f>
        <v/>
      </c>
      <c r="X49" s="48"/>
      <c r="Y49" s="31"/>
      <c r="Z49" s="31"/>
      <c r="AA49" s="31"/>
      <c r="AB49" s="31"/>
      <c r="AC49" s="31"/>
      <c r="AD49" s="31"/>
      <c r="AE49" s="31"/>
    </row>
    <row r="50" spans="1:31" ht="12.75" customHeight="1" thickBot="1" x14ac:dyDescent="0.25">
      <c r="A50" s="207" t="s">
        <v>155</v>
      </c>
      <c r="B50" s="208"/>
      <c r="C50" s="208"/>
      <c r="D50" s="209"/>
      <c r="E50" s="299"/>
      <c r="F50" s="300"/>
      <c r="G50" s="300"/>
      <c r="H50" s="300"/>
      <c r="I50" s="300"/>
      <c r="J50" s="300"/>
      <c r="K50" s="300"/>
      <c r="L50" s="301"/>
      <c r="M50" s="28" t="str">
        <f>IF(OR(ISTEXT(O50),ISTEXT(P50)),MAX(M$19:M49)+1,"")</f>
        <v/>
      </c>
      <c r="N50" s="20"/>
      <c r="O50" s="21"/>
      <c r="P50" s="22"/>
      <c r="Q50" s="16"/>
      <c r="R50" s="26"/>
      <c r="S50" s="20"/>
      <c r="T50" s="20"/>
      <c r="U50" s="20"/>
      <c r="V50" s="20"/>
      <c r="W50" s="35" t="str">
        <f>IF(COUNTBLANK(O50:P50)&gt;0,"",IF($R50="IF",data!$D$28,IF($R50="I",data!$E$28,IF($R50="AF",data!$F$28,IF($R50="A1",data!$G$28,IF($R50="A2",data!$H$28,IF($R50="SS",data!$I$28,"")))))))</f>
        <v/>
      </c>
      <c r="X50" s="48"/>
      <c r="Y50" s="31"/>
      <c r="Z50" s="31"/>
      <c r="AA50" s="31"/>
      <c r="AB50" s="31"/>
      <c r="AC50" s="31"/>
      <c r="AD50" s="31"/>
      <c r="AE50" s="31"/>
    </row>
    <row r="51" spans="1:31" ht="12" customHeight="1" x14ac:dyDescent="0.2">
      <c r="A51" s="375" t="s">
        <v>41</v>
      </c>
      <c r="B51" s="376"/>
      <c r="C51" s="376"/>
      <c r="D51" s="376"/>
      <c r="E51" s="376"/>
      <c r="F51" s="376"/>
      <c r="G51" s="376"/>
      <c r="H51" s="376"/>
      <c r="I51" s="376"/>
      <c r="J51" s="349" t="str">
        <f>IF(COUNTBLANK(W61:W61)=1,"",IF(OR(COUNTBLANK(B57:B57)=1,COUNTBLANK(I57:I57)=1),"Unsigned","Complete"))</f>
        <v/>
      </c>
      <c r="K51" s="350"/>
      <c r="L51" s="347" t="str">
        <f>IF(COUNTBLANK(W61:W61)=1,"",IF(OR(COUNTBLANK(B57:B57)=1,COUNTBLANK(I57:I57)=1),"O","P"))</f>
        <v/>
      </c>
      <c r="M51" s="28" t="str">
        <f>IF(OR(ISTEXT(O51),ISTEXT(P51)),MAX(M$19:M50)+1,"")</f>
        <v/>
      </c>
      <c r="N51" s="20"/>
      <c r="O51" s="21"/>
      <c r="P51" s="22"/>
      <c r="Q51" s="16"/>
      <c r="R51" s="26"/>
      <c r="S51" s="20"/>
      <c r="T51" s="20"/>
      <c r="U51" s="20"/>
      <c r="V51" s="20"/>
      <c r="W51" s="35" t="str">
        <f>IF(COUNTBLANK(O51:P51)&gt;0,"",IF($R51="IF",data!$D$28,IF($R51="I",data!$E$28,IF($R51="AF",data!$F$28,IF($R51="A1",data!$G$28,IF($R51="A2",data!$H$28,IF($R51="SS",data!$I$28,"")))))))</f>
        <v/>
      </c>
      <c r="X51" s="48"/>
      <c r="Y51" s="31"/>
      <c r="Z51" s="31"/>
      <c r="AA51" s="31"/>
      <c r="AB51" s="31"/>
      <c r="AC51" s="31"/>
      <c r="AD51" s="31"/>
      <c r="AE51" s="31"/>
    </row>
    <row r="52" spans="1:31" ht="12.75" customHeight="1" x14ac:dyDescent="0.2">
      <c r="A52" s="377"/>
      <c r="B52" s="378"/>
      <c r="C52" s="378"/>
      <c r="D52" s="378"/>
      <c r="E52" s="378"/>
      <c r="F52" s="378"/>
      <c r="G52" s="378"/>
      <c r="H52" s="378"/>
      <c r="I52" s="378"/>
      <c r="J52" s="351"/>
      <c r="K52" s="351"/>
      <c r="L52" s="348"/>
      <c r="M52" s="28" t="str">
        <f>IF(OR(ISTEXT(O52),ISTEXT(P52)),MAX(M$19:M51)+1,"")</f>
        <v/>
      </c>
      <c r="N52" s="20"/>
      <c r="O52" s="21"/>
      <c r="P52" s="22"/>
      <c r="Q52" s="16"/>
      <c r="R52" s="26"/>
      <c r="S52" s="20"/>
      <c r="T52" s="20"/>
      <c r="U52" s="20"/>
      <c r="V52" s="20"/>
      <c r="W52" s="35" t="str">
        <f>IF(COUNTBLANK(O52:P52)&gt;0,"",IF($R52="IF",data!$D$28,IF($R52="I",data!$E$28,IF($R52="AF",data!$F$28,IF($R52="A1",data!$G$28,IF($R52="A2",data!$H$28,IF($R52="SS",data!$I$28,"")))))))</f>
        <v/>
      </c>
      <c r="X52" s="48"/>
      <c r="Y52" s="31"/>
      <c r="Z52" s="31"/>
      <c r="AA52" s="31"/>
      <c r="AB52" s="31"/>
      <c r="AC52" s="31"/>
      <c r="AD52" s="31"/>
      <c r="AE52" s="31"/>
    </row>
    <row r="53" spans="1:31" ht="13.5" thickBot="1" x14ac:dyDescent="0.25">
      <c r="A53" s="383" t="s">
        <v>32</v>
      </c>
      <c r="B53" s="384"/>
      <c r="C53" s="384"/>
      <c r="D53" s="384"/>
      <c r="E53" s="384"/>
      <c r="F53" s="384"/>
      <c r="G53" s="384"/>
      <c r="H53" s="384"/>
      <c r="I53" s="384"/>
      <c r="J53" s="384"/>
      <c r="K53" s="384"/>
      <c r="L53" s="18"/>
      <c r="M53" s="28" t="str">
        <f>IF(OR(ISTEXT(O53),ISTEXT(P53)),MAX(M$19:M52)+1,"")</f>
        <v/>
      </c>
      <c r="N53" s="23"/>
      <c r="O53" s="24"/>
      <c r="P53" s="25"/>
      <c r="Q53" s="16"/>
      <c r="R53" s="27"/>
      <c r="S53" s="23"/>
      <c r="T53" s="23"/>
      <c r="U53" s="23"/>
      <c r="V53" s="23"/>
      <c r="W53" s="35" t="str">
        <f>IF(COUNTBLANK(O53:P53)&gt;0,"",IF($R53="IF",data!$D$28,IF($R53="I",data!$E$28,IF($R53="AF",data!$F$28,IF($R53="A1",data!$G$28,IF($R53="A2",data!$H$28,IF($R53="SS",data!$I$28,"")))))))</f>
        <v/>
      </c>
      <c r="X53" s="49"/>
      <c r="Y53" s="31"/>
      <c r="Z53" s="31"/>
      <c r="AA53" s="31"/>
      <c r="AB53" s="31"/>
      <c r="AC53" s="31"/>
      <c r="AD53" s="31"/>
      <c r="AE53" s="31"/>
    </row>
    <row r="54" spans="1:31" ht="12.75" customHeight="1" x14ac:dyDescent="0.2">
      <c r="A54" s="385"/>
      <c r="B54" s="386"/>
      <c r="C54" s="386"/>
      <c r="D54" s="386"/>
      <c r="E54" s="386"/>
      <c r="F54" s="386"/>
      <c r="G54" s="386"/>
      <c r="H54" s="386"/>
      <c r="I54" s="386"/>
      <c r="J54" s="386"/>
      <c r="K54" s="386"/>
      <c r="L54" s="18"/>
      <c r="M54" s="191"/>
      <c r="N54" s="143" t="s">
        <v>105</v>
      </c>
      <c r="O54" s="144"/>
      <c r="P54" s="145"/>
      <c r="Q54" s="151" t="str">
        <f>IF(COUNTA(P34:P53)=0,"",COUNTA(P34:P53))</f>
        <v/>
      </c>
      <c r="R54" s="176" t="str">
        <f>data!$C$57</f>
        <v>Sub-total of fees in C$</v>
      </c>
      <c r="S54" s="177"/>
      <c r="T54" s="177"/>
      <c r="U54" s="177"/>
      <c r="V54" s="178"/>
      <c r="W54" s="184" t="str">
        <f>IF(SUM(W34:W53)=0,"",SUM(W34:W53))</f>
        <v/>
      </c>
      <c r="X54" s="171"/>
      <c r="Y54" s="31"/>
      <c r="Z54" s="31"/>
      <c r="AA54" s="31"/>
      <c r="AB54" s="31"/>
      <c r="AC54" s="31"/>
      <c r="AD54" s="31"/>
      <c r="AE54" s="31"/>
    </row>
    <row r="55" spans="1:31" ht="13.5" thickBot="1" x14ac:dyDescent="0.25">
      <c r="A55" s="385"/>
      <c r="B55" s="386"/>
      <c r="C55" s="386"/>
      <c r="D55" s="386"/>
      <c r="E55" s="386"/>
      <c r="F55" s="386"/>
      <c r="G55" s="386"/>
      <c r="H55" s="386"/>
      <c r="I55" s="386"/>
      <c r="J55" s="386"/>
      <c r="K55" s="386"/>
      <c r="L55" s="18"/>
      <c r="M55" s="192"/>
      <c r="N55" s="146"/>
      <c r="O55" s="147"/>
      <c r="P55" s="148"/>
      <c r="Q55" s="152"/>
      <c r="R55" s="179"/>
      <c r="S55" s="180"/>
      <c r="T55" s="180"/>
      <c r="U55" s="180"/>
      <c r="V55" s="181"/>
      <c r="W55" s="185"/>
      <c r="X55" s="172"/>
      <c r="Y55" s="31"/>
      <c r="Z55" s="31"/>
      <c r="AA55" s="31"/>
      <c r="AB55" s="31"/>
      <c r="AC55" s="31"/>
      <c r="AD55" s="31"/>
      <c r="AE55" s="31"/>
    </row>
    <row r="56" spans="1:31" ht="7.5" customHeight="1" x14ac:dyDescent="0.2">
      <c r="A56" s="393"/>
      <c r="B56" s="394"/>
      <c r="C56" s="394"/>
      <c r="D56" s="394"/>
      <c r="E56" s="394"/>
      <c r="F56" s="394"/>
      <c r="G56" s="394"/>
      <c r="H56" s="394"/>
      <c r="I56" s="394"/>
      <c r="J56" s="394"/>
      <c r="K56" s="394"/>
      <c r="L56" s="395"/>
      <c r="M56" s="192"/>
      <c r="N56" s="143" t="s">
        <v>244</v>
      </c>
      <c r="O56" s="144"/>
      <c r="P56" s="145"/>
      <c r="Q56" s="151" t="str">
        <f>IF($W$61&lt;=1,SUM($Q$29,$Q$54),IF($W$61=2,SUM($Q$29,$Q$54,$Q$94,$Q$119),IF($W$61=3,SUM($Q$29,$Q$54,$Q$94,$Q$119,$Q$157,$Q$182),"0")))</f>
        <v>0</v>
      </c>
      <c r="R56" s="176" t="s">
        <v>225</v>
      </c>
      <c r="S56" s="177"/>
      <c r="T56" s="177"/>
      <c r="U56" s="177"/>
      <c r="V56" s="178"/>
      <c r="W56" s="184" t="str">
        <f>IF($W$61&lt;=1,SUM($W$29,$W$54),IF($W$61=2,SUM($W$29,$W$54,$W$94,$W$119),IF($W$61=3,SUM($W$29,$W$54,$W$94,$W$119,$W$157,$W$182),"$0.00")))</f>
        <v>$0.00</v>
      </c>
      <c r="X56" s="173"/>
      <c r="Y56" s="31"/>
      <c r="Z56" s="31"/>
      <c r="AA56" s="31"/>
      <c r="AB56" s="31"/>
      <c r="AC56" s="31"/>
      <c r="AD56" s="31"/>
      <c r="AE56" s="31"/>
    </row>
    <row r="57" spans="1:31" ht="12.75" customHeight="1" x14ac:dyDescent="0.2">
      <c r="A57" s="15" t="s">
        <v>217</v>
      </c>
      <c r="B57" s="391"/>
      <c r="C57" s="391"/>
      <c r="D57" s="391"/>
      <c r="E57" s="391"/>
      <c r="F57" s="391"/>
      <c r="G57" s="391"/>
      <c r="H57" s="43" t="s">
        <v>218</v>
      </c>
      <c r="I57" s="392"/>
      <c r="J57" s="392"/>
      <c r="K57" s="392"/>
      <c r="L57" s="19"/>
      <c r="M57" s="192"/>
      <c r="N57" s="194"/>
      <c r="O57" s="195"/>
      <c r="P57" s="196"/>
      <c r="Q57" s="197"/>
      <c r="R57" s="198"/>
      <c r="S57" s="199"/>
      <c r="T57" s="199"/>
      <c r="U57" s="199"/>
      <c r="V57" s="200"/>
      <c r="W57" s="186"/>
      <c r="X57" s="174"/>
      <c r="Y57" s="31"/>
      <c r="Z57" s="31"/>
      <c r="AA57" s="31"/>
      <c r="AB57" s="31"/>
      <c r="AC57" s="31"/>
      <c r="AD57" s="31"/>
      <c r="AE57" s="31"/>
    </row>
    <row r="58" spans="1:31" ht="11.1" customHeight="1" thickBot="1" x14ac:dyDescent="0.25">
      <c r="A58" s="121"/>
      <c r="B58" s="122"/>
      <c r="C58" s="122"/>
      <c r="D58" s="122"/>
      <c r="E58" s="122"/>
      <c r="F58" s="122"/>
      <c r="G58" s="122"/>
      <c r="H58" s="122"/>
      <c r="I58" s="122"/>
      <c r="J58" s="122"/>
      <c r="K58" s="122"/>
      <c r="L58" s="123"/>
      <c r="M58" s="193"/>
      <c r="N58" s="146"/>
      <c r="O58" s="147"/>
      <c r="P58" s="148"/>
      <c r="Q58" s="152"/>
      <c r="R58" s="179"/>
      <c r="S58" s="180"/>
      <c r="T58" s="180"/>
      <c r="U58" s="180"/>
      <c r="V58" s="181"/>
      <c r="W58" s="185"/>
      <c r="X58" s="175"/>
      <c r="Y58" s="31"/>
      <c r="Z58" s="31"/>
      <c r="AA58" s="31"/>
      <c r="AB58" s="31"/>
      <c r="AC58" s="31"/>
      <c r="AD58" s="31"/>
      <c r="AE58" s="31"/>
    </row>
    <row r="59" spans="1:31" ht="11.1" customHeight="1" x14ac:dyDescent="0.2">
      <c r="A59" s="30"/>
      <c r="B59" s="30"/>
      <c r="C59" s="30"/>
      <c r="D59" s="30"/>
      <c r="E59" s="30"/>
      <c r="F59" s="30"/>
      <c r="G59" s="32"/>
      <c r="H59" s="32"/>
      <c r="I59" s="32"/>
      <c r="J59" s="32"/>
      <c r="K59" s="32"/>
      <c r="L59" s="32"/>
      <c r="M59" s="32"/>
      <c r="N59" s="32"/>
      <c r="O59" s="32"/>
      <c r="P59" s="32"/>
      <c r="Q59" s="32"/>
      <c r="R59" s="32"/>
      <c r="S59" s="32"/>
      <c r="T59" s="32"/>
      <c r="U59" s="32"/>
      <c r="V59" s="32"/>
      <c r="W59" s="32"/>
      <c r="X59" s="32"/>
      <c r="Y59" s="31"/>
      <c r="Z59" s="31"/>
      <c r="AA59" s="31"/>
      <c r="AB59" s="31"/>
      <c r="AC59" s="31"/>
      <c r="AD59" s="31"/>
      <c r="AE59" s="31"/>
    </row>
    <row r="60" spans="1:31" ht="11.1" customHeight="1" x14ac:dyDescent="0.2">
      <c r="A60" s="33"/>
      <c r="B60" s="33"/>
      <c r="C60" s="33"/>
      <c r="D60" s="33"/>
      <c r="E60" s="33"/>
      <c r="F60" s="33"/>
      <c r="G60" s="41"/>
      <c r="H60" s="41"/>
      <c r="I60" s="41"/>
      <c r="J60" s="41"/>
      <c r="K60" s="41"/>
      <c r="L60" s="41"/>
      <c r="M60" s="41"/>
      <c r="N60" s="41"/>
      <c r="O60" s="41"/>
      <c r="P60" s="41"/>
      <c r="R60" s="41"/>
      <c r="S60" s="41"/>
      <c r="T60" s="41"/>
      <c r="U60" s="41"/>
      <c r="V60" s="41"/>
      <c r="W60" s="41"/>
      <c r="X60" s="41"/>
      <c r="Y60" s="31"/>
      <c r="Z60" s="31"/>
      <c r="AA60" s="31"/>
      <c r="AB60" s="31"/>
    </row>
    <row r="61" spans="1:31" ht="12" customHeight="1" x14ac:dyDescent="0.2">
      <c r="A61" s="33"/>
      <c r="B61" s="33"/>
      <c r="C61" s="33"/>
      <c r="D61" s="33"/>
      <c r="E61" s="33"/>
      <c r="F61" s="33"/>
      <c r="G61" s="41"/>
      <c r="H61" s="41"/>
      <c r="I61" s="41"/>
      <c r="J61" s="41"/>
      <c r="K61" s="41"/>
      <c r="L61" s="41"/>
      <c r="M61" s="41"/>
      <c r="N61" s="41"/>
      <c r="O61" s="41"/>
      <c r="P61" s="41"/>
      <c r="Q61" s="190" t="s">
        <v>156</v>
      </c>
      <c r="R61" s="170"/>
      <c r="S61" s="167" t="str">
        <f>IF(COUNTBLANK($W$61:W61)=1,"",1)</f>
        <v/>
      </c>
      <c r="T61" s="168"/>
      <c r="U61" s="169" t="s">
        <v>52</v>
      </c>
      <c r="V61" s="170"/>
      <c r="W61" s="51" t="str">
        <f>IF(AND(MAX(M19:M53)&gt;0,COUNTBLANK(N84:P93)=30,COUNTBLANK(N99:P118)=60,COUNTBLANK(N147:P156)=30,COUNTBLANK(N162:P181)=60),1,IF(AND(MAX(M19:M53)&gt;0,OR(COUNTBLANK(N84:P93)&lt;30,COUNTBLANK(N99:P118)&lt;60),COUNTBLANK(N147:P156)=30,COUNTBLANK(N162:P181)=60),2,IF(AND(MAX(M19:M53)&gt;0,OR(COUNTBLANK(N84:P93)&lt;30,COUNTBLANK(N99:P118)&lt;60),OR(COUNTBLANK(N147:P156)&lt;30,COUNTBLANK(N162:P181)&lt;60)),3,"")))</f>
        <v/>
      </c>
      <c r="X61" s="41"/>
      <c r="Y61" s="31"/>
      <c r="Z61" s="31"/>
      <c r="AA61" s="31"/>
      <c r="AB61" s="31"/>
    </row>
    <row r="62" spans="1:31" ht="11.1" customHeight="1" x14ac:dyDescent="0.2">
      <c r="A62" s="33"/>
      <c r="B62" s="33"/>
      <c r="C62" s="33"/>
      <c r="D62" s="33"/>
      <c r="E62" s="33"/>
      <c r="F62" s="33"/>
      <c r="G62" s="41"/>
      <c r="H62" s="41"/>
      <c r="I62" s="41"/>
      <c r="J62" s="41"/>
      <c r="K62" s="41"/>
      <c r="L62" s="41"/>
      <c r="M62" s="41"/>
      <c r="N62" s="41"/>
      <c r="O62" s="41"/>
      <c r="P62" s="41"/>
      <c r="R62" s="41"/>
      <c r="S62" s="41"/>
      <c r="T62" s="41"/>
      <c r="U62" s="41"/>
      <c r="V62" s="41"/>
      <c r="W62" s="41"/>
      <c r="X62" s="41"/>
      <c r="Y62" s="31"/>
      <c r="Z62" s="31"/>
      <c r="AA62" s="31"/>
      <c r="AB62" s="31"/>
    </row>
    <row r="63" spans="1:31" ht="11.1" customHeight="1" x14ac:dyDescent="0.2">
      <c r="A63" s="33"/>
      <c r="B63" s="33"/>
      <c r="C63" s="33"/>
      <c r="D63" s="33"/>
      <c r="E63" s="33"/>
      <c r="F63" s="33"/>
      <c r="G63" s="41"/>
      <c r="H63" s="41"/>
      <c r="I63" s="41"/>
      <c r="J63" s="41"/>
      <c r="K63" s="41"/>
      <c r="L63" s="41"/>
      <c r="M63" s="41"/>
      <c r="N63" s="41"/>
      <c r="O63" s="41"/>
      <c r="P63" s="41"/>
      <c r="Q63" s="41"/>
      <c r="R63" s="41"/>
      <c r="S63" s="41"/>
      <c r="T63" s="41"/>
      <c r="U63" s="41"/>
      <c r="V63" s="41"/>
      <c r="W63" s="41"/>
      <c r="X63" s="41"/>
      <c r="Y63" s="31"/>
      <c r="Z63" s="31"/>
      <c r="AA63" s="31"/>
      <c r="AB63" s="31"/>
    </row>
    <row r="64" spans="1:31" ht="11.1" customHeight="1" x14ac:dyDescent="0.2">
      <c r="E64" s="33"/>
      <c r="F64" s="33"/>
      <c r="G64" s="41"/>
      <c r="H64" s="41"/>
      <c r="I64" s="41"/>
      <c r="J64" s="41"/>
      <c r="K64" s="41"/>
      <c r="L64" s="41"/>
      <c r="M64" s="41"/>
      <c r="N64" s="41"/>
      <c r="O64" s="41"/>
      <c r="P64" s="41"/>
      <c r="Q64" s="41"/>
      <c r="R64" s="41"/>
      <c r="S64" s="41"/>
      <c r="T64" s="41"/>
      <c r="U64" s="41"/>
      <c r="V64" s="41"/>
      <c r="W64" s="41"/>
      <c r="X64" s="41"/>
      <c r="Y64" s="31"/>
      <c r="Z64" s="31"/>
      <c r="AA64" s="31"/>
      <c r="AB64" s="31"/>
    </row>
    <row r="65" spans="1:28" ht="11.1" customHeight="1" x14ac:dyDescent="0.2">
      <c r="E65" s="33"/>
      <c r="F65" s="33"/>
      <c r="G65" s="41"/>
      <c r="H65" s="41"/>
      <c r="I65" s="41"/>
      <c r="J65" s="41"/>
      <c r="K65" s="41"/>
      <c r="L65" s="41"/>
      <c r="M65" s="41"/>
      <c r="N65" s="54"/>
      <c r="O65" s="41"/>
      <c r="P65" s="41"/>
      <c r="Q65" s="41"/>
      <c r="R65" s="41"/>
      <c r="S65" s="41"/>
      <c r="T65" s="41"/>
      <c r="U65" s="41"/>
      <c r="V65" s="41"/>
      <c r="W65" s="41"/>
      <c r="X65" s="41"/>
      <c r="Y65" s="31"/>
      <c r="Z65" s="31"/>
      <c r="AA65" s="31"/>
      <c r="AB65" s="31"/>
    </row>
    <row r="66" spans="1:28" ht="11.1" customHeight="1" x14ac:dyDescent="0.2">
      <c r="E66" s="33"/>
      <c r="F66" s="33"/>
      <c r="G66" s="41"/>
      <c r="H66" s="41"/>
      <c r="I66" s="41"/>
      <c r="J66" s="41"/>
      <c r="K66" s="41"/>
      <c r="L66" s="41"/>
      <c r="M66" s="41"/>
      <c r="N66" s="41"/>
      <c r="O66" s="41"/>
      <c r="P66" s="41"/>
      <c r="Q66" s="41"/>
      <c r="R66" s="41"/>
      <c r="S66" s="41"/>
      <c r="T66" s="41"/>
      <c r="U66" s="41"/>
      <c r="V66" s="41"/>
      <c r="W66" s="41"/>
      <c r="X66" s="41"/>
      <c r="Y66" s="31"/>
      <c r="Z66" s="31"/>
      <c r="AA66" s="31"/>
      <c r="AB66" s="31"/>
    </row>
    <row r="67" spans="1:28" ht="11.1" customHeight="1" x14ac:dyDescent="0.2">
      <c r="A67" s="33"/>
      <c r="B67" s="33"/>
      <c r="C67" s="33"/>
      <c r="D67" s="33"/>
      <c r="E67" s="33"/>
      <c r="F67" s="33"/>
      <c r="G67" s="41"/>
      <c r="H67" s="41"/>
      <c r="I67" s="41"/>
      <c r="J67" s="41"/>
      <c r="K67" s="41"/>
      <c r="L67" s="41"/>
      <c r="M67" s="41"/>
      <c r="N67" s="41"/>
      <c r="O67" s="41"/>
      <c r="P67" s="41"/>
      <c r="Q67" s="41"/>
      <c r="R67" s="41"/>
      <c r="S67" s="41"/>
      <c r="T67" s="41"/>
      <c r="U67" s="41"/>
      <c r="V67" s="41"/>
      <c r="W67" s="41"/>
      <c r="X67" s="41"/>
      <c r="Y67" s="31"/>
      <c r="Z67" s="31"/>
      <c r="AA67" s="31"/>
      <c r="AB67" s="31"/>
    </row>
    <row r="68" spans="1:28" ht="11.1" customHeight="1" x14ac:dyDescent="0.2">
      <c r="A68" s="33"/>
      <c r="B68" s="33"/>
      <c r="C68" s="33"/>
      <c r="D68" s="33"/>
      <c r="E68" s="33"/>
      <c r="F68" s="33"/>
      <c r="G68" s="41"/>
      <c r="H68" s="41"/>
      <c r="I68" s="41"/>
      <c r="J68" s="41"/>
      <c r="K68" s="41"/>
      <c r="L68" s="41"/>
      <c r="M68" s="41"/>
      <c r="N68" s="41"/>
      <c r="O68" s="41"/>
      <c r="P68" s="41"/>
      <c r="Q68" s="41"/>
      <c r="R68" s="41"/>
      <c r="S68" s="41"/>
      <c r="T68" s="41"/>
      <c r="U68" s="41"/>
      <c r="V68" s="41"/>
      <c r="W68" s="41"/>
      <c r="X68" s="41"/>
      <c r="Y68" s="31"/>
      <c r="Z68" s="31"/>
      <c r="AA68" s="31"/>
      <c r="AB68" s="31"/>
    </row>
    <row r="69" spans="1:28" ht="11.1" customHeight="1" x14ac:dyDescent="0.2">
      <c r="A69" s="291"/>
      <c r="B69" s="292"/>
      <c r="C69" s="292"/>
      <c r="D69" s="292"/>
      <c r="E69" s="292"/>
      <c r="F69" s="293" t="s">
        <v>325</v>
      </c>
      <c r="G69" s="293"/>
      <c r="H69" s="293"/>
      <c r="I69" s="293"/>
      <c r="J69" s="293"/>
      <c r="K69" s="293"/>
      <c r="L69" s="293"/>
      <c r="M69" s="293"/>
      <c r="N69" s="256" t="s">
        <v>174</v>
      </c>
      <c r="O69" s="257"/>
      <c r="P69" s="257"/>
      <c r="Q69" s="52"/>
      <c r="R69" s="52"/>
      <c r="S69" s="52"/>
      <c r="T69" s="52"/>
      <c r="U69" s="52"/>
      <c r="V69" s="52"/>
      <c r="W69" s="52"/>
      <c r="X69" s="52"/>
      <c r="Y69" s="31"/>
      <c r="Z69" s="31"/>
      <c r="AA69" s="31"/>
      <c r="AB69" s="31"/>
    </row>
    <row r="70" spans="1:28" ht="11.1" customHeight="1" thickBot="1" x14ac:dyDescent="0.25">
      <c r="A70" s="292"/>
      <c r="B70" s="292"/>
      <c r="C70" s="292"/>
      <c r="D70" s="292"/>
      <c r="E70" s="292"/>
      <c r="F70" s="293" t="s">
        <v>326</v>
      </c>
      <c r="G70" s="293"/>
      <c r="H70" s="293"/>
      <c r="I70" s="293"/>
      <c r="J70" s="293"/>
      <c r="K70" s="293"/>
      <c r="L70" s="293"/>
      <c r="M70" s="293"/>
      <c r="N70" s="257"/>
      <c r="O70" s="257"/>
      <c r="P70" s="257"/>
      <c r="Q70" s="52"/>
      <c r="R70" s="52"/>
      <c r="S70" s="52"/>
      <c r="T70" s="52"/>
      <c r="U70" s="52"/>
      <c r="V70" s="52"/>
      <c r="W70" s="52"/>
      <c r="X70" s="52"/>
      <c r="Y70" s="31"/>
      <c r="Z70" s="31"/>
      <c r="AA70" s="31"/>
      <c r="AB70" s="31"/>
    </row>
    <row r="71" spans="1:28" ht="11.1" customHeight="1" x14ac:dyDescent="0.2">
      <c r="A71" s="292"/>
      <c r="B71" s="292"/>
      <c r="C71" s="292"/>
      <c r="D71" s="292"/>
      <c r="E71" s="292"/>
      <c r="F71" s="293" t="s">
        <v>336</v>
      </c>
      <c r="G71" s="293"/>
      <c r="H71" s="293"/>
      <c r="I71" s="293"/>
      <c r="J71" s="293"/>
      <c r="K71" s="293"/>
      <c r="L71" s="293"/>
      <c r="M71" s="293"/>
      <c r="N71" s="257"/>
      <c r="O71" s="257"/>
      <c r="P71" s="257"/>
      <c r="Q71" s="53"/>
      <c r="R71" s="243" t="s">
        <v>6</v>
      </c>
      <c r="S71" s="244"/>
      <c r="T71" s="245"/>
      <c r="U71" s="311" t="s">
        <v>180</v>
      </c>
      <c r="V71" s="312"/>
      <c r="W71" s="312"/>
      <c r="X71" s="313"/>
      <c r="Y71" s="31"/>
      <c r="Z71" s="31"/>
      <c r="AA71" s="31"/>
      <c r="AB71" s="31"/>
    </row>
    <row r="72" spans="1:28" ht="11.1" customHeight="1" thickBot="1" x14ac:dyDescent="0.25">
      <c r="A72" s="292"/>
      <c r="B72" s="292"/>
      <c r="C72" s="292"/>
      <c r="D72" s="292"/>
      <c r="E72" s="292"/>
      <c r="F72" s="293" t="s">
        <v>337</v>
      </c>
      <c r="G72" s="293"/>
      <c r="H72" s="293"/>
      <c r="I72" s="293"/>
      <c r="J72" s="293"/>
      <c r="K72" s="293"/>
      <c r="L72" s="293"/>
      <c r="M72" s="293"/>
      <c r="N72" s="258" t="s">
        <v>339</v>
      </c>
      <c r="O72" s="259"/>
      <c r="P72" s="259"/>
      <c r="Q72" s="53"/>
      <c r="R72" s="246"/>
      <c r="S72" s="247"/>
      <c r="T72" s="248"/>
      <c r="U72" s="314"/>
      <c r="V72" s="315"/>
      <c r="W72" s="315"/>
      <c r="X72" s="316"/>
      <c r="Y72" s="31"/>
      <c r="Z72" s="31"/>
      <c r="AA72" s="31"/>
      <c r="AB72" s="31"/>
    </row>
    <row r="73" spans="1:28" ht="11.1" customHeight="1" x14ac:dyDescent="0.2">
      <c r="A73" s="292"/>
      <c r="B73" s="292"/>
      <c r="C73" s="292"/>
      <c r="D73" s="292"/>
      <c r="E73" s="292"/>
      <c r="F73" s="293" t="s">
        <v>338</v>
      </c>
      <c r="G73" s="293"/>
      <c r="H73" s="293"/>
      <c r="I73" s="293"/>
      <c r="J73" s="293"/>
      <c r="K73" s="293"/>
      <c r="L73" s="293"/>
      <c r="M73" s="293"/>
      <c r="N73" s="259"/>
      <c r="O73" s="259"/>
      <c r="P73" s="259"/>
      <c r="Q73" s="53"/>
      <c r="R73" s="53"/>
      <c r="S73" s="53"/>
      <c r="T73" s="53"/>
      <c r="U73" s="53"/>
      <c r="V73" s="53"/>
      <c r="W73" s="53"/>
      <c r="X73" s="53"/>
      <c r="Y73" s="31"/>
      <c r="Z73" s="31"/>
      <c r="AA73" s="31"/>
      <c r="AB73" s="31"/>
    </row>
    <row r="74" spans="1:28" ht="11.1" customHeight="1" x14ac:dyDescent="0.2">
      <c r="A74" s="292"/>
      <c r="B74" s="292"/>
      <c r="C74" s="292"/>
      <c r="D74" s="292"/>
      <c r="E74" s="292"/>
      <c r="F74" s="294" t="s">
        <v>330</v>
      </c>
      <c r="G74" s="293"/>
      <c r="H74" s="293"/>
      <c r="I74" s="293"/>
      <c r="J74" s="293"/>
      <c r="K74" s="293"/>
      <c r="L74" s="293"/>
      <c r="M74" s="293"/>
      <c r="N74" s="260" t="s">
        <v>72</v>
      </c>
      <c r="O74" s="261"/>
      <c r="P74" s="261"/>
      <c r="Q74" s="113"/>
      <c r="U74" s="296" t="s">
        <v>260</v>
      </c>
      <c r="V74" s="296"/>
      <c r="W74" s="296"/>
      <c r="X74" s="296"/>
    </row>
    <row r="75" spans="1:28" ht="11.1" customHeight="1" x14ac:dyDescent="0.2">
      <c r="A75" s="292"/>
      <c r="B75" s="292"/>
      <c r="C75" s="292"/>
      <c r="D75" s="292"/>
      <c r="E75" s="292"/>
      <c r="F75" s="295" t="s">
        <v>222</v>
      </c>
      <c r="G75" s="295"/>
      <c r="H75" s="295"/>
      <c r="I75" s="295"/>
      <c r="J75" s="295"/>
      <c r="K75" s="295"/>
      <c r="L75" s="295"/>
      <c r="M75" s="295"/>
      <c r="N75" s="261" t="s">
        <v>175</v>
      </c>
      <c r="O75" s="261"/>
      <c r="P75" s="261"/>
      <c r="Q75" s="113"/>
      <c r="U75" s="297"/>
      <c r="V75" s="298"/>
      <c r="W75" s="153" t="s">
        <v>75</v>
      </c>
      <c r="X75" s="154"/>
    </row>
    <row r="76" spans="1:28" ht="11.1" customHeight="1" x14ac:dyDescent="0.2">
      <c r="A76" s="290"/>
      <c r="B76" s="290"/>
      <c r="C76" s="290"/>
      <c r="D76" s="290"/>
      <c r="E76" s="290"/>
      <c r="F76" s="116"/>
      <c r="G76" s="116"/>
      <c r="H76" s="116"/>
      <c r="I76" s="116"/>
      <c r="J76" s="116"/>
      <c r="K76" s="116"/>
      <c r="L76" s="116"/>
      <c r="M76" s="116"/>
      <c r="N76" s="41"/>
      <c r="O76" s="41"/>
      <c r="P76" s="41"/>
      <c r="Q76" s="41"/>
      <c r="R76" s="41"/>
      <c r="S76" s="41"/>
      <c r="T76" s="41"/>
      <c r="U76" s="241"/>
      <c r="V76" s="242"/>
      <c r="W76" s="153" t="s">
        <v>308</v>
      </c>
      <c r="X76" s="154"/>
    </row>
    <row r="77" spans="1:28" ht="11.1" customHeight="1" x14ac:dyDescent="0.2">
      <c r="A77" s="290"/>
      <c r="B77" s="290"/>
      <c r="C77" s="290"/>
      <c r="D77" s="290"/>
      <c r="E77" s="290"/>
      <c r="F77" s="116"/>
      <c r="G77" s="116"/>
      <c r="H77" s="116"/>
      <c r="I77" s="116"/>
      <c r="J77" s="116"/>
      <c r="K77" s="116"/>
      <c r="L77" s="116"/>
      <c r="N77" s="126" t="str">
        <f>IF(COUNTBLANK(W126:W126)=1,"",IF(COUNTIF('Candidate Personal Info (VEF2)'!R12:R2085,"P")=(8*'Candidate Personal Info (VEF2)'!P33),"P","O"))</f>
        <v/>
      </c>
      <c r="O77" s="155" t="str">
        <f>IF(COUNTBLANK(W126:W126)=1,"Candidate Personal Information Check",IF(COUNTIF('Candidate Personal Info (VEF2)'!R12:R2085,"P")=(8*'Candidate Personal Info (VEF2)'!P33),"Candidate Personal Information Complete!","Candidate Personal Information Missing"))</f>
        <v>Candidate Personal Information Check</v>
      </c>
      <c r="P77" s="368"/>
      <c r="Q77" s="368"/>
      <c r="R77" s="369"/>
      <c r="S77" s="41"/>
      <c r="T77" s="41"/>
      <c r="U77" s="254"/>
      <c r="V77" s="255"/>
      <c r="W77" s="153" t="s">
        <v>8</v>
      </c>
      <c r="X77" s="154"/>
    </row>
    <row r="78" spans="1:28" ht="11.1" customHeight="1" thickBot="1" x14ac:dyDescent="0.25">
      <c r="A78" s="366"/>
      <c r="B78" s="366"/>
      <c r="C78" s="366"/>
      <c r="D78" s="366"/>
      <c r="E78" s="366"/>
      <c r="F78" s="367"/>
      <c r="G78" s="367"/>
      <c r="H78" s="367"/>
      <c r="I78" s="367"/>
      <c r="J78" s="367"/>
      <c r="K78" s="367"/>
      <c r="L78" s="367"/>
      <c r="M78" s="367"/>
      <c r="N78" s="29"/>
      <c r="O78" s="29"/>
      <c r="P78" s="29"/>
      <c r="Q78" s="29"/>
      <c r="R78" s="29"/>
      <c r="S78" s="29"/>
      <c r="T78" s="29"/>
      <c r="U78" s="29"/>
      <c r="V78" s="29"/>
      <c r="W78" s="29"/>
      <c r="X78" s="29"/>
    </row>
    <row r="79" spans="1:28" ht="11.1" customHeight="1" x14ac:dyDescent="0.2">
      <c r="A79" s="216" t="s">
        <v>152</v>
      </c>
      <c r="B79" s="217"/>
      <c r="C79" s="217"/>
      <c r="D79" s="217"/>
      <c r="E79" s="217"/>
      <c r="F79" s="217"/>
      <c r="G79" s="217"/>
      <c r="H79" s="217"/>
      <c r="I79" s="217"/>
      <c r="J79" s="217"/>
      <c r="K79" s="217"/>
      <c r="L79" s="218"/>
      <c r="M79" s="287"/>
      <c r="N79" s="216" t="s">
        <v>290</v>
      </c>
      <c r="O79" s="249"/>
      <c r="P79" s="249"/>
      <c r="Q79" s="249"/>
      <c r="R79" s="249"/>
      <c r="S79" s="249"/>
      <c r="T79" s="249"/>
      <c r="U79" s="249"/>
      <c r="V79" s="249"/>
      <c r="W79" s="249"/>
      <c r="X79" s="250"/>
    </row>
    <row r="80" spans="1:28" ht="11.1" customHeight="1" thickBot="1" x14ac:dyDescent="0.25">
      <c r="A80" s="219"/>
      <c r="B80" s="220"/>
      <c r="C80" s="220"/>
      <c r="D80" s="220"/>
      <c r="E80" s="220"/>
      <c r="F80" s="220"/>
      <c r="G80" s="220"/>
      <c r="H80" s="220"/>
      <c r="I80" s="220"/>
      <c r="J80" s="220"/>
      <c r="K80" s="220"/>
      <c r="L80" s="221"/>
      <c r="M80" s="288"/>
      <c r="N80" s="251"/>
      <c r="O80" s="252"/>
      <c r="P80" s="252"/>
      <c r="Q80" s="252"/>
      <c r="R80" s="252"/>
      <c r="S80" s="252"/>
      <c r="T80" s="252"/>
      <c r="U80" s="252"/>
      <c r="V80" s="252"/>
      <c r="W80" s="252"/>
      <c r="X80" s="253"/>
    </row>
    <row r="81" spans="1:24" ht="12.75" customHeight="1" thickBot="1" x14ac:dyDescent="0.25">
      <c r="A81" s="277" t="s">
        <v>223</v>
      </c>
      <c r="B81" s="278"/>
      <c r="C81" s="279"/>
      <c r="D81" s="164" t="str">
        <f>IF(AND(OR($W$61=2,$W$61=3),NOT(ISBLANK($D$16))),$D$16,"")</f>
        <v/>
      </c>
      <c r="E81" s="165"/>
      <c r="F81" s="165"/>
      <c r="G81" s="165"/>
      <c r="H81" s="165"/>
      <c r="I81" s="238"/>
      <c r="J81" s="14" t="s">
        <v>224</v>
      </c>
      <c r="K81" s="204" t="str">
        <f>IF(AND(OR($W$61=2,$W$61=3),NOT(ISBLANK($K$16))),$K$16,"")</f>
        <v/>
      </c>
      <c r="L81" s="206"/>
      <c r="M81" s="288"/>
      <c r="N81" s="137" t="s">
        <v>164</v>
      </c>
      <c r="O81" s="138"/>
      <c r="P81" s="160"/>
      <c r="Q81" s="138"/>
      <c r="R81" s="138"/>
      <c r="S81" s="138"/>
      <c r="T81" s="138"/>
      <c r="U81" s="138"/>
      <c r="V81" s="138"/>
      <c r="W81" s="138"/>
      <c r="X81" s="140"/>
    </row>
    <row r="82" spans="1:24" ht="12" customHeight="1" x14ac:dyDescent="0.2">
      <c r="A82" s="277" t="s">
        <v>321</v>
      </c>
      <c r="B82" s="278"/>
      <c r="C82" s="279"/>
      <c r="D82" s="268" t="str">
        <f>IF(AND(OR($W$61=2,$W$61=3),NOT(ISBLANK($D$17))),$D$17,"")</f>
        <v/>
      </c>
      <c r="E82" s="269"/>
      <c r="F82" s="269"/>
      <c r="G82" s="269"/>
      <c r="H82" s="269"/>
      <c r="I82" s="269"/>
      <c r="J82" s="269"/>
      <c r="K82" s="269"/>
      <c r="L82" s="280"/>
      <c r="M82" s="288"/>
      <c r="N82" s="158" t="s">
        <v>240</v>
      </c>
      <c r="O82" s="149" t="s">
        <v>241</v>
      </c>
      <c r="P82" s="149" t="s">
        <v>171</v>
      </c>
      <c r="Q82" s="141" t="s">
        <v>214</v>
      </c>
      <c r="R82" s="149" t="s">
        <v>221</v>
      </c>
      <c r="S82" s="262" t="s">
        <v>264</v>
      </c>
      <c r="T82" s="263"/>
      <c r="U82" s="263"/>
      <c r="V82" s="264"/>
      <c r="W82" s="149" t="s">
        <v>242</v>
      </c>
      <c r="X82" s="182" t="s">
        <v>180</v>
      </c>
    </row>
    <row r="83" spans="1:24" ht="12" customHeight="1" thickBot="1" x14ac:dyDescent="0.25">
      <c r="A83" s="277" t="s">
        <v>322</v>
      </c>
      <c r="B83" s="278"/>
      <c r="C83" s="279"/>
      <c r="D83" s="268" t="str">
        <f>IF(AND(OR($W$61=2,$W$61=3),NOT(ISBLANK($D$18))),$D$18,"")</f>
        <v/>
      </c>
      <c r="E83" s="269"/>
      <c r="F83" s="269"/>
      <c r="G83" s="269"/>
      <c r="H83" s="269"/>
      <c r="I83" s="269"/>
      <c r="J83" s="269"/>
      <c r="K83" s="269"/>
      <c r="L83" s="280"/>
      <c r="M83" s="289"/>
      <c r="N83" s="159"/>
      <c r="O83" s="150"/>
      <c r="P83" s="150"/>
      <c r="Q83" s="142"/>
      <c r="R83" s="150"/>
      <c r="S83" s="40">
        <v>1</v>
      </c>
      <c r="T83" s="40">
        <v>2</v>
      </c>
      <c r="U83" s="40">
        <v>3</v>
      </c>
      <c r="V83" s="40">
        <v>4</v>
      </c>
      <c r="W83" s="150"/>
      <c r="X83" s="183"/>
    </row>
    <row r="84" spans="1:24" ht="12" customHeight="1" x14ac:dyDescent="0.2">
      <c r="A84" s="277" t="s">
        <v>323</v>
      </c>
      <c r="B84" s="278"/>
      <c r="C84" s="279"/>
      <c r="D84" s="268" t="str">
        <f>IF(AND(OR($W$61=2,$W$61=3),NOT(ISBLANK($D$19))),$D$19,"")</f>
        <v/>
      </c>
      <c r="E84" s="269"/>
      <c r="F84" s="269"/>
      <c r="G84" s="269"/>
      <c r="H84" s="269"/>
      <c r="I84" s="269"/>
      <c r="J84" s="269"/>
      <c r="K84" s="269"/>
      <c r="L84" s="280"/>
      <c r="M84" s="28" t="str">
        <f>IF(OR(ISTEXT(O84),ISTEXT(P84)),MAX(M$19:M83)+1,"")</f>
        <v/>
      </c>
      <c r="N84" s="20"/>
      <c r="O84" s="21"/>
      <c r="P84" s="22"/>
      <c r="Q84" s="16"/>
      <c r="R84" s="20"/>
      <c r="S84" s="20"/>
      <c r="T84" s="20"/>
      <c r="U84" s="20"/>
      <c r="V84" s="20"/>
      <c r="W84" s="35" t="str">
        <f>IF(COUNTBLANK(O84:P84)&gt;0,"",IF(AND($W$61&gt;=2,$R84="IF"),data!$D$10,IF(AND($W$61&gt;=2,$R84="I"),data!$E$10,IF(AND($W$61&gt;=2,$R84="AF"),data!$F$10,IF(AND($W$61&gt;=2,$R84="A1"),data!$G$10,IF(AND($W$61&gt;=2,$R84="A2"),data!$H$10,IF(AND($W$61&gt;=2,$R84="SS"),data!$I$10,"")))))))</f>
        <v/>
      </c>
      <c r="X84" s="48"/>
    </row>
    <row r="85" spans="1:24" ht="12" customHeight="1" x14ac:dyDescent="0.2">
      <c r="A85" s="265" t="s">
        <v>131</v>
      </c>
      <c r="B85" s="266"/>
      <c r="C85" s="267"/>
      <c r="D85" s="268" t="str">
        <f>IF(AND(OR($W$61=2,$W$61=3),NOT(ISBLANK($D$20))),$D$20,"")</f>
        <v/>
      </c>
      <c r="E85" s="269"/>
      <c r="F85" s="269"/>
      <c r="G85" s="269"/>
      <c r="H85" s="269"/>
      <c r="I85" s="269"/>
      <c r="J85" s="269"/>
      <c r="K85" s="269"/>
      <c r="L85" s="280"/>
      <c r="M85" s="28" t="str">
        <f>IF(OR(ISTEXT(O85),ISTEXT(P85)),MAX(M$19:M84)+1,"")</f>
        <v/>
      </c>
      <c r="N85" s="20"/>
      <c r="O85" s="21"/>
      <c r="P85" s="22"/>
      <c r="Q85" s="16"/>
      <c r="R85" s="20"/>
      <c r="S85" s="20"/>
      <c r="T85" s="20"/>
      <c r="U85" s="20"/>
      <c r="V85" s="20"/>
      <c r="W85" s="35" t="str">
        <f>IF(COUNTBLANK(O85:P85)&gt;0,"",IF(AND($W$61&gt;=2,$R85="IF"),data!$D$10,IF(AND($W$61&gt;=2,$R85="I"),data!$E$10,IF(AND($W$61&gt;=2,$R85="AF"),data!$F$10,IF(AND($W$61&gt;=2,$R85="A1"),data!$G$10,IF(AND($W$61&gt;=2,$R85="A2"),data!$H$10,IF(AND($W$61&gt;=2,$R85="SS"),data!$I$10,"")))))))</f>
        <v/>
      </c>
      <c r="X85" s="48"/>
    </row>
    <row r="86" spans="1:24" ht="12" customHeight="1" x14ac:dyDescent="0.2">
      <c r="A86" s="265" t="s">
        <v>177</v>
      </c>
      <c r="B86" s="266"/>
      <c r="C86" s="267"/>
      <c r="D86" s="268" t="str">
        <f>IF(AND(OR($W$61=2,$W$61=3),NOT(ISBLANK($D$21))),$D$21,"")</f>
        <v/>
      </c>
      <c r="E86" s="269"/>
      <c r="F86" s="269"/>
      <c r="G86" s="269"/>
      <c r="H86" s="269"/>
      <c r="I86" s="269"/>
      <c r="J86" s="269"/>
      <c r="K86" s="269"/>
      <c r="L86" s="280"/>
      <c r="M86" s="28" t="str">
        <f>IF(OR(ISTEXT(O86),ISTEXT(P86)),MAX(M$19:M85)+1,"")</f>
        <v/>
      </c>
      <c r="N86" s="20"/>
      <c r="O86" s="21"/>
      <c r="P86" s="22"/>
      <c r="Q86" s="16"/>
      <c r="R86" s="20"/>
      <c r="S86" s="20"/>
      <c r="T86" s="20"/>
      <c r="U86" s="20"/>
      <c r="V86" s="20"/>
      <c r="W86" s="35" t="str">
        <f>IF(COUNTBLANK(O86:P86)&gt;0,"",IF(AND($W$61&gt;=2,$R86="IF"),data!$D$10,IF(AND($W$61&gt;=2,$R86="I"),data!$E$10,IF(AND($W$61&gt;=2,$R86="AF"),data!$F$10,IF(AND($W$61&gt;=2,$R86="A1"),data!$G$10,IF(AND($W$61&gt;=2,$R86="A2"),data!$H$10,IF(AND($W$61&gt;=2,$R86="SS"),data!$I$10,"")))))))</f>
        <v/>
      </c>
      <c r="X86" s="48"/>
    </row>
    <row r="87" spans="1:24" ht="12" customHeight="1" x14ac:dyDescent="0.2">
      <c r="A87" s="265" t="s">
        <v>178</v>
      </c>
      <c r="B87" s="266"/>
      <c r="C87" s="267"/>
      <c r="D87" s="268" t="str">
        <f>IF(AND(OR($W$61=2,$W$61=3),NOT(ISBLANK($D$22))),$D$22,"")</f>
        <v/>
      </c>
      <c r="E87" s="269"/>
      <c r="F87" s="269"/>
      <c r="G87" s="270"/>
      <c r="H87" s="227" t="s">
        <v>212</v>
      </c>
      <c r="I87" s="229"/>
      <c r="J87" s="204" t="str">
        <f>IF(AND(OR($W$61=2,$W$61=3),NOT(ISBLANK($J$22))),$J$22,"")</f>
        <v/>
      </c>
      <c r="K87" s="205"/>
      <c r="L87" s="206"/>
      <c r="M87" s="28" t="str">
        <f>IF(OR(ISTEXT(O87),ISTEXT(P87)),MAX(M$19:M86)+1,"")</f>
        <v/>
      </c>
      <c r="N87" s="20"/>
      <c r="O87" s="21"/>
      <c r="P87" s="22"/>
      <c r="Q87" s="16"/>
      <c r="R87" s="20"/>
      <c r="S87" s="20"/>
      <c r="T87" s="20"/>
      <c r="U87" s="20"/>
      <c r="V87" s="20"/>
      <c r="W87" s="35" t="str">
        <f>IF(COUNTBLANK(O87:P87)&gt;0,"",IF(AND($W$61&gt;=2,$R87="IF"),data!$D$10,IF(AND($W$61&gt;=2,$R87="I"),data!$E$10,IF(AND($W$61&gt;=2,$R87="AF"),data!$F$10,IF(AND($W$61&gt;=2,$R87="A1"),data!$G$10,IF(AND($W$61&gt;=2,$R87="A2"),data!$H$10,IF(AND($W$61&gt;=2,$R87="SS"),data!$I$10,"")))))))</f>
        <v/>
      </c>
      <c r="X87" s="48"/>
    </row>
    <row r="88" spans="1:24" ht="12" customHeight="1" x14ac:dyDescent="0.2">
      <c r="A88" s="277" t="s">
        <v>133</v>
      </c>
      <c r="B88" s="278"/>
      <c r="C88" s="279"/>
      <c r="D88" s="268" t="str">
        <f>IF(AND(OR($W$61=2,$W$61=3),NOT(ISBLANK($D23))),$D23,"")</f>
        <v/>
      </c>
      <c r="E88" s="269"/>
      <c r="F88" s="269"/>
      <c r="G88" s="269"/>
      <c r="H88" s="270"/>
      <c r="I88" s="50" t="s">
        <v>132</v>
      </c>
      <c r="J88" s="268" t="str">
        <f>IF(AND(OR($W$61=2,$W$61=3),NOT(ISBLANK($J$23))),$J$23,"")</f>
        <v/>
      </c>
      <c r="K88" s="269"/>
      <c r="L88" s="280"/>
      <c r="M88" s="28" t="str">
        <f>IF(OR(ISTEXT(O88),ISTEXT(P88)),MAX(M$19:M87)+1,"")</f>
        <v/>
      </c>
      <c r="N88" s="20"/>
      <c r="O88" s="21"/>
      <c r="P88" s="22"/>
      <c r="Q88" s="16"/>
      <c r="R88" s="20"/>
      <c r="S88" s="20"/>
      <c r="T88" s="20"/>
      <c r="U88" s="20"/>
      <c r="V88" s="20"/>
      <c r="W88" s="35" t="str">
        <f>IF(COUNTBLANK(O88:P88)&gt;0,"",IF(AND($W$61&gt;=2,$R88="IF"),data!$D$10,IF(AND($W$61&gt;=2,$R88="I"),data!$E$10,IF(AND($W$61&gt;=2,$R88="AF"),data!$F$10,IF(AND($W$61&gt;=2,$R88="A1"),data!$G$10,IF(AND($W$61&gt;=2,$R88="A2"),data!$H$10,IF(AND($W$61&gt;=2,$R88="SS"),data!$I$10,"")))))))</f>
        <v/>
      </c>
      <c r="X88" s="48"/>
    </row>
    <row r="89" spans="1:24" ht="12" customHeight="1" x14ac:dyDescent="0.2">
      <c r="A89" s="265" t="s">
        <v>151</v>
      </c>
      <c r="B89" s="266"/>
      <c r="C89" s="267"/>
      <c r="D89" s="268" t="str">
        <f>IF(AND(OR($W$61=2,$W$61=3),NOT(ISBLANK($D$24))),$D$24,"")</f>
        <v/>
      </c>
      <c r="E89" s="269"/>
      <c r="F89" s="269"/>
      <c r="G89" s="269"/>
      <c r="H89" s="269"/>
      <c r="I89" s="269"/>
      <c r="J89" s="269"/>
      <c r="K89" s="269"/>
      <c r="L89" s="280"/>
      <c r="M89" s="28" t="str">
        <f>IF(OR(ISTEXT(O89),ISTEXT(P89)),MAX(M$19:M88)+1,"")</f>
        <v/>
      </c>
      <c r="N89" s="20"/>
      <c r="O89" s="21"/>
      <c r="P89" s="22"/>
      <c r="Q89" s="16"/>
      <c r="R89" s="20"/>
      <c r="S89" s="20"/>
      <c r="T89" s="20"/>
      <c r="U89" s="20"/>
      <c r="V89" s="20"/>
      <c r="W89" s="35" t="str">
        <f>IF(COUNTBLANK(O89:P89)&gt;0,"",IF(AND($W$61&gt;=2,$R89="IF"),data!$D$10,IF(AND($W$61&gt;=2,$R89="I"),data!$E$10,IF(AND($W$61&gt;=2,$R89="AF"),data!$F$10,IF(AND($W$61&gt;=2,$R89="A1"),data!$G$10,IF(AND($W$61&gt;=2,$R89="A2"),data!$H$10,IF(AND($W$61&gt;=2,$R89="SS"),data!$I$10,"")))))))</f>
        <v/>
      </c>
      <c r="X89" s="48"/>
    </row>
    <row r="90" spans="1:24" ht="12" customHeight="1" x14ac:dyDescent="0.2">
      <c r="A90" s="265" t="s">
        <v>134</v>
      </c>
      <c r="B90" s="266"/>
      <c r="C90" s="267"/>
      <c r="D90" s="268" t="str">
        <f>IF(AND(OR($W$61=2,$W$61=3),NOT(ISBLANK($D$25))),$D$25,"")</f>
        <v/>
      </c>
      <c r="E90" s="269"/>
      <c r="F90" s="269"/>
      <c r="G90" s="269"/>
      <c r="H90" s="269"/>
      <c r="I90" s="269"/>
      <c r="J90" s="269"/>
      <c r="K90" s="269"/>
      <c r="L90" s="280"/>
      <c r="M90" s="28" t="str">
        <f>IF(OR(ISTEXT(O90),ISTEXT(P90)),MAX(M$19:M89)+1,"")</f>
        <v/>
      </c>
      <c r="N90" s="20"/>
      <c r="O90" s="21"/>
      <c r="P90" s="22"/>
      <c r="Q90" s="16"/>
      <c r="R90" s="20"/>
      <c r="S90" s="20"/>
      <c r="T90" s="20"/>
      <c r="U90" s="20"/>
      <c r="V90" s="20"/>
      <c r="W90" s="35" t="str">
        <f>IF(COUNTBLANK(O90:P90)&gt;0,"",IF(AND($W$61&gt;=2,$R90="IF"),data!$D$10,IF(AND($W$61&gt;=2,$R90="I"),data!$E$10,IF(AND($W$61&gt;=2,$R90="AF"),data!$F$10,IF(AND($W$61&gt;=2,$R90="A1"),data!$G$10,IF(AND($W$61&gt;=2,$R90="A2"),data!$H$10,IF(AND($W$61&gt;=2,$R90="SS"),data!$I$10,"")))))))</f>
        <v/>
      </c>
      <c r="X90" s="48"/>
    </row>
    <row r="91" spans="1:24" ht="12.75" customHeight="1" thickBot="1" x14ac:dyDescent="0.25">
      <c r="A91" s="271" t="s">
        <v>155</v>
      </c>
      <c r="B91" s="272"/>
      <c r="C91" s="272"/>
      <c r="D91" s="273"/>
      <c r="E91" s="274" t="str">
        <f>IF(AND(OR($W$61=2,$W$61=3),NOT(ISBLANK($E$26))),$E$26,"")</f>
        <v/>
      </c>
      <c r="F91" s="275"/>
      <c r="G91" s="275"/>
      <c r="H91" s="275"/>
      <c r="I91" s="275"/>
      <c r="J91" s="275"/>
      <c r="K91" s="275"/>
      <c r="L91" s="276"/>
      <c r="M91" s="28" t="str">
        <f>IF(OR(ISTEXT(O91),ISTEXT(P91)),MAX(M$19:M90)+1,"")</f>
        <v/>
      </c>
      <c r="N91" s="20"/>
      <c r="O91" s="21"/>
      <c r="P91" s="22"/>
      <c r="Q91" s="16"/>
      <c r="R91" s="20"/>
      <c r="S91" s="20"/>
      <c r="T91" s="20"/>
      <c r="U91" s="20"/>
      <c r="V91" s="20"/>
      <c r="W91" s="35" t="str">
        <f>IF(COUNTBLANK(O91:P91)&gt;0,"",IF(AND($W$61&gt;=2,$R91="IF"),data!$D$10,IF(AND($W$61&gt;=2,$R91="I"),data!$E$10,IF(AND($W$61&gt;=2,$R91="AF"),data!$F$10,IF(AND($W$61&gt;=2,$R91="A1"),data!$G$10,IF(AND($W$61&gt;=2,$R91="A2"),data!$H$10,IF(AND($W$61&gt;=2,$R91="SS"),data!$I$10,"")))))))</f>
        <v/>
      </c>
      <c r="X91" s="48"/>
    </row>
    <row r="92" spans="1:24" ht="11.1" customHeight="1" x14ac:dyDescent="0.2">
      <c r="A92" s="216" t="s">
        <v>165</v>
      </c>
      <c r="B92" s="217"/>
      <c r="C92" s="217"/>
      <c r="D92" s="217"/>
      <c r="E92" s="217"/>
      <c r="F92" s="217"/>
      <c r="G92" s="217"/>
      <c r="H92" s="217"/>
      <c r="I92" s="217"/>
      <c r="J92" s="217"/>
      <c r="K92" s="217"/>
      <c r="L92" s="218"/>
      <c r="M92" s="28" t="str">
        <f>IF(OR(ISTEXT(O92),ISTEXT(P92)),MAX(M$19:M91)+1,"")</f>
        <v/>
      </c>
      <c r="N92" s="20"/>
      <c r="O92" s="21"/>
      <c r="P92" s="22"/>
      <c r="Q92" s="16"/>
      <c r="R92" s="20"/>
      <c r="S92" s="20"/>
      <c r="T92" s="20"/>
      <c r="U92" s="20"/>
      <c r="V92" s="20"/>
      <c r="W92" s="35" t="str">
        <f>IF(COUNTBLANK(O92:P92)&gt;0,"",IF(AND($W$61&gt;=2,$R92="IF"),data!$D$10,IF(AND($W$61&gt;=2,$R92="I"),data!$E$10,IF(AND($W$61&gt;=2,$R92="AF"),data!$F$10,IF(AND($W$61&gt;=2,$R92="A1"),data!$G$10,IF(AND($W$61&gt;=2,$R92="A2"),data!$H$10,IF(AND($W$61&gt;=2,$R92="SS"),data!$I$10,"")))))))</f>
        <v/>
      </c>
      <c r="X92" s="48"/>
    </row>
    <row r="93" spans="1:24" ht="12" customHeight="1" thickBot="1" x14ac:dyDescent="0.25">
      <c r="A93" s="219"/>
      <c r="B93" s="220"/>
      <c r="C93" s="220"/>
      <c r="D93" s="220"/>
      <c r="E93" s="220"/>
      <c r="F93" s="220"/>
      <c r="G93" s="220"/>
      <c r="H93" s="220"/>
      <c r="I93" s="220"/>
      <c r="J93" s="220"/>
      <c r="K93" s="220"/>
      <c r="L93" s="221"/>
      <c r="M93" s="28" t="str">
        <f>IF(OR(ISTEXT(O93),ISTEXT(P93)),MAX(M$19:M92)+1,"")</f>
        <v/>
      </c>
      <c r="N93" s="23"/>
      <c r="O93" s="24"/>
      <c r="P93" s="25"/>
      <c r="Q93" s="17"/>
      <c r="R93" s="23"/>
      <c r="S93" s="23"/>
      <c r="T93" s="23"/>
      <c r="U93" s="23"/>
      <c r="V93" s="23"/>
      <c r="W93" s="35" t="str">
        <f>IF(COUNTBLANK(O93:P93)&gt;0,"",IF(AND($W$61&gt;=2,$R93="IF"),data!$D$10,IF(AND($W$61&gt;=2,$R93="I"),data!$E$10,IF(AND($W$61&gt;=2,$R93="AF"),data!$F$10,IF(AND($W$61&gt;=2,$R93="A1"),data!$G$10,IF(AND($W$61&gt;=2,$R93="A2"),data!$H$10,IF(AND($W$61&gt;=2,$R93="SS"),data!$I$10,"")))))))</f>
        <v/>
      </c>
      <c r="X93" s="49"/>
    </row>
    <row r="94" spans="1:24" ht="9.75" customHeight="1" x14ac:dyDescent="0.2">
      <c r="A94" s="281" t="s">
        <v>292</v>
      </c>
      <c r="B94" s="282"/>
      <c r="C94" s="282"/>
      <c r="D94" s="282"/>
      <c r="E94" s="282"/>
      <c r="F94" s="282"/>
      <c r="G94" s="282"/>
      <c r="H94" s="282"/>
      <c r="I94" s="282"/>
      <c r="J94" s="282"/>
      <c r="K94" s="282"/>
      <c r="L94" s="283"/>
      <c r="M94" s="134"/>
      <c r="N94" s="143" t="s">
        <v>99</v>
      </c>
      <c r="O94" s="144"/>
      <c r="P94" s="145"/>
      <c r="Q94" s="151" t="str">
        <f>IF(OR($W$61=2,$W$61=3),COUNTA(P84:P93),"")</f>
        <v/>
      </c>
      <c r="R94" s="176" t="str">
        <f>data!$C$57</f>
        <v>Sub-total of fees in C$</v>
      </c>
      <c r="S94" s="177"/>
      <c r="T94" s="177"/>
      <c r="U94" s="177"/>
      <c r="V94" s="178"/>
      <c r="W94" s="184" t="str">
        <f>IF(OR($W$61=2,$W$61=3),SUM(W84:W93),"")</f>
        <v/>
      </c>
      <c r="X94" s="173"/>
    </row>
    <row r="95" spans="1:24" ht="12.75" customHeight="1" thickBot="1" x14ac:dyDescent="0.25">
      <c r="A95" s="284"/>
      <c r="B95" s="285"/>
      <c r="C95" s="285"/>
      <c r="D95" s="285"/>
      <c r="E95" s="285"/>
      <c r="F95" s="285"/>
      <c r="G95" s="285"/>
      <c r="H95" s="285"/>
      <c r="I95" s="285"/>
      <c r="J95" s="285"/>
      <c r="K95" s="285"/>
      <c r="L95" s="286"/>
      <c r="M95" s="135"/>
      <c r="N95" s="146"/>
      <c r="O95" s="147"/>
      <c r="P95" s="148"/>
      <c r="Q95" s="152"/>
      <c r="R95" s="179"/>
      <c r="S95" s="180"/>
      <c r="T95" s="180"/>
      <c r="U95" s="180"/>
      <c r="V95" s="181"/>
      <c r="W95" s="185"/>
      <c r="X95" s="175"/>
    </row>
    <row r="96" spans="1:24" ht="12" customHeight="1" thickBot="1" x14ac:dyDescent="0.25">
      <c r="A96" s="201" t="s">
        <v>65</v>
      </c>
      <c r="B96" s="202"/>
      <c r="C96" s="202"/>
      <c r="D96" s="202"/>
      <c r="E96" s="203"/>
      <c r="F96" s="204" t="str">
        <f>IF(AND(OR($W$61=2,$W$61=3),NOT(ISBLANK($F$31))),$F$31,"")</f>
        <v/>
      </c>
      <c r="G96" s="205"/>
      <c r="H96" s="205"/>
      <c r="I96" s="205"/>
      <c r="J96" s="205"/>
      <c r="K96" s="205"/>
      <c r="L96" s="206"/>
      <c r="M96" s="135"/>
      <c r="N96" s="137" t="s">
        <v>60</v>
      </c>
      <c r="O96" s="138"/>
      <c r="P96" s="139"/>
      <c r="Q96" s="138"/>
      <c r="R96" s="138"/>
      <c r="S96" s="138"/>
      <c r="T96" s="138"/>
      <c r="U96" s="138"/>
      <c r="V96" s="138"/>
      <c r="W96" s="138"/>
      <c r="X96" s="140"/>
    </row>
    <row r="97" spans="1:24" ht="12.75" customHeight="1" thickBot="1" x14ac:dyDescent="0.25">
      <c r="A97" s="207" t="s">
        <v>66</v>
      </c>
      <c r="B97" s="208"/>
      <c r="C97" s="208"/>
      <c r="D97" s="208"/>
      <c r="E97" s="209"/>
      <c r="F97" s="210" t="s">
        <v>226</v>
      </c>
      <c r="G97" s="211"/>
      <c r="H97" s="211"/>
      <c r="I97" s="211"/>
      <c r="J97" s="211"/>
      <c r="K97" s="211"/>
      <c r="L97" s="212"/>
      <c r="M97" s="135"/>
      <c r="N97" s="158" t="s">
        <v>240</v>
      </c>
      <c r="O97" s="149" t="s">
        <v>241</v>
      </c>
      <c r="P97" s="149" t="s">
        <v>171</v>
      </c>
      <c r="Q97" s="141" t="s">
        <v>214</v>
      </c>
      <c r="R97" s="149" t="s">
        <v>221</v>
      </c>
      <c r="S97" s="187" t="s">
        <v>264</v>
      </c>
      <c r="T97" s="188"/>
      <c r="U97" s="188"/>
      <c r="V97" s="189"/>
      <c r="W97" s="149" t="s">
        <v>242</v>
      </c>
      <c r="X97" s="182" t="s">
        <v>180</v>
      </c>
    </row>
    <row r="98" spans="1:24" ht="12" customHeight="1" thickBot="1" x14ac:dyDescent="0.25">
      <c r="A98" s="216" t="s">
        <v>318</v>
      </c>
      <c r="B98" s="217"/>
      <c r="C98" s="217"/>
      <c r="D98" s="217"/>
      <c r="E98" s="217"/>
      <c r="F98" s="217"/>
      <c r="G98" s="217"/>
      <c r="H98" s="217"/>
      <c r="I98" s="217"/>
      <c r="J98" s="217"/>
      <c r="K98" s="217"/>
      <c r="L98" s="218"/>
      <c r="M98" s="136"/>
      <c r="N98" s="159"/>
      <c r="O98" s="150"/>
      <c r="P98" s="150"/>
      <c r="Q98" s="142"/>
      <c r="R98" s="150"/>
      <c r="S98" s="40">
        <v>1</v>
      </c>
      <c r="T98" s="40">
        <v>2</v>
      </c>
      <c r="U98" s="40">
        <v>3</v>
      </c>
      <c r="V98" s="40">
        <v>4</v>
      </c>
      <c r="W98" s="150"/>
      <c r="X98" s="183"/>
    </row>
    <row r="99" spans="1:24" ht="12" customHeight="1" x14ac:dyDescent="0.2">
      <c r="A99" s="219"/>
      <c r="B99" s="220"/>
      <c r="C99" s="220"/>
      <c r="D99" s="220"/>
      <c r="E99" s="220"/>
      <c r="F99" s="220"/>
      <c r="G99" s="220"/>
      <c r="H99" s="220"/>
      <c r="I99" s="220"/>
      <c r="J99" s="220"/>
      <c r="K99" s="220"/>
      <c r="L99" s="221"/>
      <c r="M99" s="28" t="str">
        <f>IF(OR(ISTEXT(O99),ISTEXT(P99)),MAX(M$19:M98)+1,"")</f>
        <v/>
      </c>
      <c r="N99" s="20"/>
      <c r="O99" s="21"/>
      <c r="P99" s="22"/>
      <c r="Q99" s="16"/>
      <c r="R99" s="26"/>
      <c r="S99" s="20"/>
      <c r="T99" s="20"/>
      <c r="U99" s="20"/>
      <c r="V99" s="20"/>
      <c r="W99" s="35" t="str">
        <f>IF(COUNTBLANK(O99:P99)&gt;0,"",IF(AND($W$61&gt;=2,$R99="IF"),data!$D$28,IF(AND($W$61&gt;=2,$R99="I"),data!$E$28,IF(AND($W$61&gt;=2,$R99="AF"),data!$F$28,IF(AND($W$61&gt;=2,$R99="A1"),data!$G$28,IF(AND($W$61&gt;=2,$R99="A2"),data!$H$28,IF(AND($W$61&gt;=2,$R99="SS"),data!$I$28,"")))))))</f>
        <v/>
      </c>
      <c r="X99" s="48"/>
    </row>
    <row r="100" spans="1:24" ht="12" customHeight="1" x14ac:dyDescent="0.2">
      <c r="A100" s="222"/>
      <c r="B100" s="223"/>
      <c r="C100" s="224" t="s">
        <v>42</v>
      </c>
      <c r="D100" s="225"/>
      <c r="E100" s="226"/>
      <c r="F100" s="227" t="s">
        <v>43</v>
      </c>
      <c r="G100" s="228"/>
      <c r="H100" s="229"/>
      <c r="I100" s="227" t="s">
        <v>124</v>
      </c>
      <c r="J100" s="228"/>
      <c r="K100" s="228"/>
      <c r="L100" s="230"/>
      <c r="M100" s="28" t="str">
        <f>IF(OR(ISTEXT(O100),ISTEXT(P100)),MAX(M$19:M99)+1,"")</f>
        <v/>
      </c>
      <c r="N100" s="20"/>
      <c r="O100" s="21"/>
      <c r="P100" s="22"/>
      <c r="Q100" s="16"/>
      <c r="R100" s="26"/>
      <c r="S100" s="20"/>
      <c r="T100" s="20"/>
      <c r="U100" s="20"/>
      <c r="V100" s="20"/>
      <c r="W100" s="35" t="str">
        <f>IF(COUNTBLANK(O100:P100)&gt;0,"",IF(AND($W$61&gt;=2,$R100="IF"),data!$D$28,IF(AND($W$61&gt;=2,$R100="I"),data!$E$28,IF(AND($W$61&gt;=2,$R100="AF"),data!$F$28,IF(AND($W$61&gt;=2,$R100="A1"),data!$G$28,IF(AND($W$61&gt;=2,$R100="A2"),data!$H$28,IF(AND($W$61&gt;=2,$R100="SS"),data!$I$28,"")))))))</f>
        <v/>
      </c>
      <c r="X100" s="48"/>
    </row>
    <row r="101" spans="1:24" ht="12" customHeight="1" x14ac:dyDescent="0.2">
      <c r="A101" s="222" t="s">
        <v>236</v>
      </c>
      <c r="B101" s="223"/>
      <c r="C101" s="204" t="str">
        <f>IF(AND(OR($W$61=2,$W$61=3),NOT(ISBLANK($C$36))),$C$36,"")</f>
        <v/>
      </c>
      <c r="D101" s="205"/>
      <c r="E101" s="231"/>
      <c r="F101" s="164" t="str">
        <f>IF(AND(OR($W$61=2,$W$61=3),NOT(ISBLANK($F$36))),$F$36,"")</f>
        <v/>
      </c>
      <c r="G101" s="165"/>
      <c r="H101" s="238"/>
      <c r="I101" s="164" t="str">
        <f>IF(AND(OR($W$61=2,$W$61=3),NOT(ISBLANK($I$36))),$I$36,"")</f>
        <v/>
      </c>
      <c r="J101" s="165"/>
      <c r="K101" s="165"/>
      <c r="L101" s="166"/>
      <c r="M101" s="28" t="str">
        <f>IF(OR(ISTEXT(O101),ISTEXT(P101)),MAX(M$19:M100)+1,"")</f>
        <v/>
      </c>
      <c r="N101" s="20"/>
      <c r="O101" s="21"/>
      <c r="P101" s="22"/>
      <c r="Q101" s="16"/>
      <c r="R101" s="26"/>
      <c r="S101" s="20"/>
      <c r="T101" s="20"/>
      <c r="U101" s="20"/>
      <c r="V101" s="20"/>
      <c r="W101" s="35" t="str">
        <f>IF(COUNTBLANK(O101:P101)&gt;0,"",IF(AND($W$61&gt;=2,$R101="IF"),data!$D$28,IF(AND($W$61&gt;=2,$R101="I"),data!$E$28,IF(AND($W$61&gt;=2,$R101="AF"),data!$F$28,IF(AND($W$61&gt;=2,$R101="A1"),data!$G$28,IF(AND($W$61&gt;=2,$R101="A2"),data!$H$28,IF(AND($W$61&gt;=2,$R101="SS"),data!$I$28,"")))))))</f>
        <v/>
      </c>
      <c r="X101" s="48"/>
    </row>
    <row r="102" spans="1:24" ht="12" customHeight="1" x14ac:dyDescent="0.2">
      <c r="A102" s="222" t="s">
        <v>237</v>
      </c>
      <c r="B102" s="223"/>
      <c r="C102" s="204" t="str">
        <f>IF(AND(OR($W$61=2,$W$61=3),NOT(ISBLANK($C$37))),$C$37,"")</f>
        <v/>
      </c>
      <c r="D102" s="205"/>
      <c r="E102" s="231"/>
      <c r="F102" s="164" t="str">
        <f>IF(AND(OR($W$61=2,$W$61=3),NOT(ISBLANK($F$37))),$F$37,"")</f>
        <v/>
      </c>
      <c r="G102" s="165"/>
      <c r="H102" s="238"/>
      <c r="I102" s="164" t="str">
        <f>IF(AND(OR($W$61=2,$W$61=3),NOT(ISBLANK($I$37))),$I$37,"")</f>
        <v/>
      </c>
      <c r="J102" s="165"/>
      <c r="K102" s="165"/>
      <c r="L102" s="166"/>
      <c r="M102" s="28" t="str">
        <f>IF(OR(ISTEXT(O102),ISTEXT(P102)),MAX(M$19:M101)+1,"")</f>
        <v/>
      </c>
      <c r="N102" s="20"/>
      <c r="O102" s="21"/>
      <c r="P102" s="22"/>
      <c r="Q102" s="16"/>
      <c r="R102" s="26"/>
      <c r="S102" s="20"/>
      <c r="T102" s="20"/>
      <c r="U102" s="20"/>
      <c r="V102" s="20"/>
      <c r="W102" s="35" t="str">
        <f>IF(COUNTBLANK(O102:P102)&gt;0,"",IF(AND($W$61&gt;=2,$R102="IF"),data!$D$28,IF(AND($W$61&gt;=2,$R102="I"),data!$E$28,IF(AND($W$61&gt;=2,$R102="AF"),data!$F$28,IF(AND($W$61&gt;=2,$R102="A1"),data!$G$28,IF(AND($W$61&gt;=2,$R102="A2"),data!$H$28,IF(AND($W$61&gt;=2,$R102="SS"),data!$I$28,"")))))))</f>
        <v/>
      </c>
      <c r="X102" s="48"/>
    </row>
    <row r="103" spans="1:24" ht="12" customHeight="1" x14ac:dyDescent="0.2">
      <c r="A103" s="222" t="s">
        <v>238</v>
      </c>
      <c r="B103" s="223"/>
      <c r="C103" s="204" t="str">
        <f>IF(AND(OR($W$61=2,$W$61=3),NOT(ISBLANK($C$38))),$C$38,"")</f>
        <v/>
      </c>
      <c r="D103" s="205"/>
      <c r="E103" s="231"/>
      <c r="F103" s="164" t="str">
        <f>IF(AND(OR($W$61=2,$W$61=3),NOT(ISBLANK($F$38))),$F$38,"")</f>
        <v/>
      </c>
      <c r="G103" s="165"/>
      <c r="H103" s="238"/>
      <c r="I103" s="164" t="str">
        <f>IF(AND(OR($W$61=2,$W$61=3),NOT(ISBLANK($I$38))),$I$38,"")</f>
        <v/>
      </c>
      <c r="J103" s="165"/>
      <c r="K103" s="165"/>
      <c r="L103" s="166"/>
      <c r="M103" s="28" t="str">
        <f>IF(OR(ISTEXT(O103),ISTEXT(P103)),MAX(M$19:M102)+1,"")</f>
        <v/>
      </c>
      <c r="N103" s="20"/>
      <c r="O103" s="21"/>
      <c r="P103" s="22"/>
      <c r="Q103" s="16"/>
      <c r="R103" s="26"/>
      <c r="S103" s="20"/>
      <c r="T103" s="20"/>
      <c r="U103" s="20"/>
      <c r="V103" s="20"/>
      <c r="W103" s="35" t="str">
        <f>IF(COUNTBLANK(O103:P103)&gt;0,"",IF(AND($W$61&gt;=2,$R103="IF"),data!$D$28,IF(AND($W$61&gt;=2,$R103="I"),data!$E$28,IF(AND($W$61&gt;=2,$R103="AF"),data!$F$28,IF(AND($W$61&gt;=2,$R103="A1"),data!$G$28,IF(AND($W$61&gt;=2,$R103="A2"),data!$H$28,IF(AND($W$61&gt;=2,$R103="SS"),data!$I$28,"")))))))</f>
        <v/>
      </c>
      <c r="X103" s="48"/>
    </row>
    <row r="104" spans="1:24" ht="12" customHeight="1" x14ac:dyDescent="0.2">
      <c r="A104" s="222" t="s">
        <v>239</v>
      </c>
      <c r="B104" s="223"/>
      <c r="C104" s="204" t="str">
        <f>IF(AND(OR($W$61=2,$W$61=3),NOT(ISBLANK($C$39))),$C$39,"")</f>
        <v/>
      </c>
      <c r="D104" s="205"/>
      <c r="E104" s="231"/>
      <c r="F104" s="164" t="str">
        <f>IF(AND(OR($W$61=2,$W$61=3),NOT(ISBLANK($F$39))),$F$39,"")</f>
        <v/>
      </c>
      <c r="G104" s="165"/>
      <c r="H104" s="238"/>
      <c r="I104" s="164" t="str">
        <f>IF(AND(OR($W$61=2,$W$61=3),NOT(ISBLANK($I$39))),$I$39,"")</f>
        <v/>
      </c>
      <c r="J104" s="165"/>
      <c r="K104" s="165"/>
      <c r="L104" s="166"/>
      <c r="M104" s="28" t="str">
        <f>IF(OR(ISTEXT(O104),ISTEXT(P104)),MAX(M$19:M103)+1,"")</f>
        <v/>
      </c>
      <c r="N104" s="20"/>
      <c r="O104" s="21"/>
      <c r="P104" s="22"/>
      <c r="Q104" s="16"/>
      <c r="R104" s="26"/>
      <c r="S104" s="20"/>
      <c r="T104" s="20"/>
      <c r="U104" s="20"/>
      <c r="V104" s="20"/>
      <c r="W104" s="35" t="str">
        <f>IF(COUNTBLANK(O104:P104)&gt;0,"",IF(AND($W$61&gt;=2,$R104="IF"),data!$D$28,IF(AND($W$61&gt;=2,$R104="I"),data!$E$28,IF(AND($W$61&gt;=2,$R104="AF"),data!$F$28,IF(AND($W$61&gt;=2,$R104="A1"),data!$G$28,IF(AND($W$61&gt;=2,$R104="A2"),data!$H$28,IF(AND($W$61&gt;=2,$R104="SS"),data!$I$28,"")))))))</f>
        <v/>
      </c>
      <c r="X104" s="48"/>
    </row>
    <row r="105" spans="1:24" ht="12" customHeight="1" x14ac:dyDescent="0.2">
      <c r="A105" s="37"/>
      <c r="B105" s="38"/>
      <c r="C105" s="38"/>
      <c r="D105" s="38"/>
      <c r="E105" s="38"/>
      <c r="F105" s="38"/>
      <c r="G105" s="38"/>
      <c r="H105" s="38"/>
      <c r="I105" s="38"/>
      <c r="J105" s="38"/>
      <c r="K105" s="38"/>
      <c r="L105" s="39"/>
      <c r="M105" s="28" t="str">
        <f>IF(OR(ISTEXT(O105),ISTEXT(P105)),MAX(M$19:M104)+1,"")</f>
        <v/>
      </c>
      <c r="N105" s="20"/>
      <c r="O105" s="21"/>
      <c r="P105" s="22"/>
      <c r="Q105" s="16"/>
      <c r="R105" s="26"/>
      <c r="S105" s="20"/>
      <c r="T105" s="20"/>
      <c r="U105" s="20"/>
      <c r="V105" s="20"/>
      <c r="W105" s="35" t="str">
        <f>IF(COUNTBLANK(O105:P105)&gt;0,"",IF(AND($W$61&gt;=2,$R105="IF"),data!$D$28,IF(AND($W$61&gt;=2,$R105="I"),data!$E$28,IF(AND($W$61&gt;=2,$R105="AF"),data!$F$28,IF(AND($W$61&gt;=2,$R105="A1"),data!$G$28,IF(AND($W$61&gt;=2,$R105="A2"),data!$H$28,IF(AND($W$61&gt;=2,$R105="SS"),data!$I$28,"")))))))</f>
        <v/>
      </c>
      <c r="X105" s="48"/>
    </row>
    <row r="106" spans="1:24" ht="12" customHeight="1" x14ac:dyDescent="0.2">
      <c r="A106" s="37"/>
      <c r="B106" s="38"/>
      <c r="C106" s="38"/>
      <c r="D106" s="38"/>
      <c r="E106" s="38"/>
      <c r="F106" s="38"/>
      <c r="G106" s="38"/>
      <c r="H106" s="38"/>
      <c r="I106" s="38"/>
      <c r="J106" s="38"/>
      <c r="K106" s="38"/>
      <c r="L106" s="39"/>
      <c r="M106" s="28" t="str">
        <f>IF(OR(ISTEXT(O106),ISTEXT(P106)),MAX(M$19:M105)+1,"")</f>
        <v/>
      </c>
      <c r="N106" s="20"/>
      <c r="O106" s="21"/>
      <c r="P106" s="22"/>
      <c r="Q106" s="16"/>
      <c r="R106" s="26"/>
      <c r="S106" s="20"/>
      <c r="T106" s="20"/>
      <c r="U106" s="20"/>
      <c r="V106" s="20"/>
      <c r="W106" s="35" t="str">
        <f>IF(COUNTBLANK(O106:P106)&gt;0,"",IF(AND($W$61&gt;=2,$R106="IF"),data!$D$28,IF(AND($W$61&gt;=2,$R106="I"),data!$E$28,IF(AND($W$61&gt;=2,$R106="AF"),data!$F$28,IF(AND($W$61&gt;=2,$R106="A1"),data!$G$28,IF(AND($W$61&gt;=2,$R106="A2"),data!$H$28,IF(AND($W$61&gt;=2,$R106="SS"),data!$I$28,"")))))))</f>
        <v/>
      </c>
      <c r="X106" s="48"/>
    </row>
    <row r="107" spans="1:24" ht="12" customHeight="1" x14ac:dyDescent="0.2">
      <c r="A107" s="37"/>
      <c r="B107" s="38"/>
      <c r="C107" s="38"/>
      <c r="D107" s="38"/>
      <c r="E107" s="38"/>
      <c r="F107" s="38"/>
      <c r="G107" s="38"/>
      <c r="H107" s="38"/>
      <c r="I107" s="38"/>
      <c r="J107" s="38"/>
      <c r="K107" s="38"/>
      <c r="L107" s="39"/>
      <c r="M107" s="28" t="str">
        <f>IF(OR(ISTEXT(O107),ISTEXT(P107)),MAX(M$19:M106)+1,"")</f>
        <v/>
      </c>
      <c r="N107" s="20"/>
      <c r="O107" s="21"/>
      <c r="P107" s="22"/>
      <c r="Q107" s="16"/>
      <c r="R107" s="26"/>
      <c r="S107" s="20"/>
      <c r="T107" s="20"/>
      <c r="U107" s="20"/>
      <c r="V107" s="20"/>
      <c r="W107" s="35" t="str">
        <f>IF(COUNTBLANK(O107:P107)&gt;0,"",IF(AND($W$61&gt;=2,$R107="IF"),data!$D$28,IF(AND($W$61&gt;=2,$R107="I"),data!$E$28,IF(AND($W$61&gt;=2,$R107="AF"),data!$F$28,IF(AND($W$61&gt;=2,$R107="A1"),data!$G$28,IF(AND($W$61&gt;=2,$R107="A2"),data!$H$28,IF(AND($W$61&gt;=2,$R107="SS"),data!$I$28,"")))))))</f>
        <v/>
      </c>
      <c r="X107" s="48"/>
    </row>
    <row r="108" spans="1:24" ht="12" customHeight="1" x14ac:dyDescent="0.2">
      <c r="A108" s="37"/>
      <c r="B108" s="38"/>
      <c r="C108" s="38"/>
      <c r="D108" s="38"/>
      <c r="E108" s="38"/>
      <c r="F108" s="38"/>
      <c r="G108" s="38"/>
      <c r="H108" s="38"/>
      <c r="I108" s="38"/>
      <c r="J108" s="38"/>
      <c r="K108" s="38"/>
      <c r="L108" s="39"/>
      <c r="M108" s="28" t="str">
        <f>IF(OR(ISTEXT(O108),ISTEXT(P108)),MAX(M$19:M107)+1,"")</f>
        <v/>
      </c>
      <c r="N108" s="20"/>
      <c r="O108" s="21"/>
      <c r="P108" s="22"/>
      <c r="Q108" s="16"/>
      <c r="R108" s="26"/>
      <c r="S108" s="20"/>
      <c r="T108" s="20"/>
      <c r="U108" s="20"/>
      <c r="V108" s="20"/>
      <c r="W108" s="35" t="str">
        <f>IF(COUNTBLANK(O108:P108)&gt;0,"",IF(AND($W$61&gt;=2,$R108="IF"),data!$D$28,IF(AND($W$61&gt;=2,$R108="I"),data!$E$28,IF(AND($W$61&gt;=2,$R108="AF"),data!$F$28,IF(AND($W$61&gt;=2,$R108="A1"),data!$G$28,IF(AND($W$61&gt;=2,$R108="A2"),data!$H$28,IF(AND($W$61&gt;=2,$R108="SS"),data!$I$28,"")))))))</f>
        <v/>
      </c>
      <c r="X108" s="48"/>
    </row>
    <row r="109" spans="1:24" ht="12" customHeight="1" x14ac:dyDescent="0.2">
      <c r="A109" s="37"/>
      <c r="B109" s="38"/>
      <c r="C109" s="38"/>
      <c r="D109" s="38"/>
      <c r="E109" s="38"/>
      <c r="F109" s="38"/>
      <c r="G109" s="38"/>
      <c r="H109" s="38"/>
      <c r="I109" s="38"/>
      <c r="J109" s="38"/>
      <c r="K109" s="38"/>
      <c r="L109" s="39"/>
      <c r="M109" s="28" t="str">
        <f>IF(OR(ISTEXT(O109),ISTEXT(P109)),MAX(M$19:M108)+1,"")</f>
        <v/>
      </c>
      <c r="N109" s="20"/>
      <c r="O109" s="21"/>
      <c r="P109" s="22"/>
      <c r="Q109" s="16"/>
      <c r="R109" s="26"/>
      <c r="S109" s="20"/>
      <c r="T109" s="20"/>
      <c r="U109" s="20"/>
      <c r="V109" s="20"/>
      <c r="W109" s="35" t="str">
        <f>IF(COUNTBLANK(O109:P109)&gt;0,"",IF(AND($W$61&gt;=2,$R109="IF"),data!$D$28,IF(AND($W$61&gt;=2,$R109="I"),data!$E$28,IF(AND($W$61&gt;=2,$R109="AF"),data!$F$28,IF(AND($W$61&gt;=2,$R109="A1"),data!$G$28,IF(AND($W$61&gt;=2,$R109="A2"),data!$H$28,IF(AND($W$61&gt;=2,$R109="SS"),data!$I$28,"")))))))</f>
        <v/>
      </c>
      <c r="X109" s="48"/>
    </row>
    <row r="110" spans="1:24" ht="12" customHeight="1" x14ac:dyDescent="0.2">
      <c r="A110" s="37"/>
      <c r="B110" s="38"/>
      <c r="C110" s="38"/>
      <c r="D110" s="38"/>
      <c r="E110" s="38"/>
      <c r="F110" s="38"/>
      <c r="G110" s="38"/>
      <c r="H110" s="38"/>
      <c r="I110" s="38"/>
      <c r="J110" s="38"/>
      <c r="K110" s="38"/>
      <c r="L110" s="39"/>
      <c r="M110" s="28" t="str">
        <f>IF(OR(ISTEXT(O110),ISTEXT(P110)),MAX(M$19:M109)+1,"")</f>
        <v/>
      </c>
      <c r="N110" s="20"/>
      <c r="O110" s="21"/>
      <c r="P110" s="22"/>
      <c r="Q110" s="16"/>
      <c r="R110" s="26"/>
      <c r="S110" s="20"/>
      <c r="T110" s="20"/>
      <c r="U110" s="20"/>
      <c r="V110" s="20"/>
      <c r="W110" s="35" t="str">
        <f>IF(COUNTBLANK(O110:P110)&gt;0,"",IF(AND($W$61&gt;=2,$R110="IF"),data!$D$28,IF(AND($W$61&gt;=2,$R110="I"),data!$E$28,IF(AND($W$61&gt;=2,$R110="AF"),data!$F$28,IF(AND($W$61&gt;=2,$R110="A1"),data!$G$28,IF(AND($W$61&gt;=2,$R110="A2"),data!$H$28,IF(AND($W$61&gt;=2,$R110="SS"),data!$I$28,"")))))))</f>
        <v/>
      </c>
      <c r="X110" s="48"/>
    </row>
    <row r="111" spans="1:24" ht="12" customHeight="1" x14ac:dyDescent="0.2">
      <c r="A111" s="37"/>
      <c r="B111" s="38"/>
      <c r="C111" s="38"/>
      <c r="D111" s="38"/>
      <c r="E111" s="38"/>
      <c r="F111" s="38"/>
      <c r="G111" s="38"/>
      <c r="H111" s="38"/>
      <c r="I111" s="38"/>
      <c r="J111" s="38"/>
      <c r="K111" s="38"/>
      <c r="L111" s="39"/>
      <c r="M111" s="28" t="str">
        <f>IF(OR(ISTEXT(O111),ISTEXT(P111)),MAX(M$19:M110)+1,"")</f>
        <v/>
      </c>
      <c r="N111" s="20"/>
      <c r="O111" s="21"/>
      <c r="P111" s="22"/>
      <c r="Q111" s="16"/>
      <c r="R111" s="26"/>
      <c r="S111" s="20"/>
      <c r="T111" s="20"/>
      <c r="U111" s="20"/>
      <c r="V111" s="20"/>
      <c r="W111" s="35" t="str">
        <f>IF(COUNTBLANK(O111:P111)&gt;0,"",IF(AND($W$61&gt;=2,$R111="IF"),data!$D$28,IF(AND($W$61&gt;=2,$R111="I"),data!$E$28,IF(AND($W$61&gt;=2,$R111="AF"),data!$F$28,IF(AND($W$61&gt;=2,$R111="A1"),data!$G$28,IF(AND($W$61&gt;=2,$R111="A2"),data!$H$28,IF(AND($W$61&gt;=2,$R111="SS"),data!$I$28,"")))))))</f>
        <v/>
      </c>
      <c r="X111" s="48"/>
    </row>
    <row r="112" spans="1:24" ht="12" customHeight="1" x14ac:dyDescent="0.2">
      <c r="A112" s="37"/>
      <c r="B112" s="38"/>
      <c r="C112" s="38"/>
      <c r="D112" s="38"/>
      <c r="E112" s="38"/>
      <c r="F112" s="38"/>
      <c r="G112" s="38"/>
      <c r="H112" s="38"/>
      <c r="I112" s="38"/>
      <c r="J112" s="38"/>
      <c r="K112" s="38"/>
      <c r="L112" s="39"/>
      <c r="M112" s="28" t="str">
        <f>IF(OR(ISTEXT(O112),ISTEXT(P112)),MAX(M$19:M111)+1,"")</f>
        <v/>
      </c>
      <c r="N112" s="20"/>
      <c r="O112" s="21"/>
      <c r="P112" s="22"/>
      <c r="Q112" s="16"/>
      <c r="R112" s="26"/>
      <c r="S112" s="20"/>
      <c r="T112" s="20"/>
      <c r="U112" s="20"/>
      <c r="V112" s="20"/>
      <c r="W112" s="35" t="str">
        <f>IF(COUNTBLANK(O112:P112)&gt;0,"",IF(AND($W$61&gt;=2,$R112="IF"),data!$D$28,IF(AND($W$61&gt;=2,$R112="I"),data!$E$28,IF(AND($W$61&gt;=2,$R112="AF"),data!$F$28,IF(AND($W$61&gt;=2,$R112="A1"),data!$G$28,IF(AND($W$61&gt;=2,$R112="A2"),data!$H$28,IF(AND($W$61&gt;=2,$R112="SS"),data!$I$28,"")))))))</f>
        <v/>
      </c>
      <c r="X112" s="48"/>
    </row>
    <row r="113" spans="1:24" ht="12" customHeight="1" x14ac:dyDescent="0.2">
      <c r="A113" s="37"/>
      <c r="B113" s="38"/>
      <c r="C113" s="38"/>
      <c r="D113" s="38"/>
      <c r="E113" s="38"/>
      <c r="F113" s="38"/>
      <c r="G113" s="38"/>
      <c r="H113" s="38"/>
      <c r="I113" s="38"/>
      <c r="J113" s="38"/>
      <c r="K113" s="38"/>
      <c r="L113" s="39"/>
      <c r="M113" s="28" t="str">
        <f>IF(OR(ISTEXT(O113),ISTEXT(P113)),MAX(M$19:M112)+1,"")</f>
        <v/>
      </c>
      <c r="N113" s="20"/>
      <c r="O113" s="21"/>
      <c r="P113" s="22"/>
      <c r="Q113" s="16"/>
      <c r="R113" s="26"/>
      <c r="S113" s="20"/>
      <c r="T113" s="20"/>
      <c r="U113" s="20"/>
      <c r="V113" s="20"/>
      <c r="W113" s="35" t="str">
        <f>IF(COUNTBLANK(O113:P113)&gt;0,"",IF(AND($W$61&gt;=2,$R113="IF"),data!$D$28,IF(AND($W$61&gt;=2,$R113="I"),data!$E$28,IF(AND($W$61&gt;=2,$R113="AF"),data!$F$28,IF(AND($W$61&gt;=2,$R113="A1"),data!$G$28,IF(AND($W$61&gt;=2,$R113="A2"),data!$H$28,IF(AND($W$61&gt;=2,$R113="SS"),data!$I$28,"")))))))</f>
        <v/>
      </c>
      <c r="X113" s="48"/>
    </row>
    <row r="114" spans="1:24" ht="12" customHeight="1" x14ac:dyDescent="0.2">
      <c r="A114" s="37"/>
      <c r="B114" s="38"/>
      <c r="C114" s="38"/>
      <c r="D114" s="38"/>
      <c r="E114" s="38"/>
      <c r="F114" s="38"/>
      <c r="G114" s="38"/>
      <c r="H114" s="38"/>
      <c r="I114" s="38"/>
      <c r="J114" s="38"/>
      <c r="K114" s="38"/>
      <c r="L114" s="39"/>
      <c r="M114" s="28" t="str">
        <f>IF(OR(ISTEXT(O114),ISTEXT(P114)),MAX(M$19:M113)+1,"")</f>
        <v/>
      </c>
      <c r="N114" s="20"/>
      <c r="O114" s="21"/>
      <c r="P114" s="22"/>
      <c r="Q114" s="16"/>
      <c r="R114" s="26"/>
      <c r="S114" s="20"/>
      <c r="T114" s="20"/>
      <c r="U114" s="20"/>
      <c r="V114" s="20"/>
      <c r="W114" s="35" t="str">
        <f>IF(COUNTBLANK(O114:P114)&gt;0,"",IF(AND($W$61&gt;=2,$R114="IF"),data!$D$28,IF(AND($W$61&gt;=2,$R114="I"),data!$E$28,IF(AND($W$61&gt;=2,$R114="AF"),data!$F$28,IF(AND($W$61&gt;=2,$R114="A1"),data!$G$28,IF(AND($W$61&gt;=2,$R114="A2"),data!$H$28,IF(AND($W$61&gt;=2,$R114="SS"),data!$I$28,"")))))))</f>
        <v/>
      </c>
      <c r="X114" s="48"/>
    </row>
    <row r="115" spans="1:24" ht="12" customHeight="1" x14ac:dyDescent="0.2">
      <c r="A115" s="37"/>
      <c r="B115" s="38"/>
      <c r="C115" s="38"/>
      <c r="D115" s="38"/>
      <c r="E115" s="38"/>
      <c r="F115" s="38"/>
      <c r="G115" s="38"/>
      <c r="H115" s="38"/>
      <c r="I115" s="38"/>
      <c r="J115" s="38"/>
      <c r="K115" s="38"/>
      <c r="L115" s="39"/>
      <c r="M115" s="28" t="str">
        <f>IF(OR(ISTEXT(O115),ISTEXT(P115)),MAX(M$19:M114)+1,"")</f>
        <v/>
      </c>
      <c r="N115" s="20"/>
      <c r="O115" s="21"/>
      <c r="P115" s="22"/>
      <c r="Q115" s="16"/>
      <c r="R115" s="26"/>
      <c r="S115" s="20"/>
      <c r="T115" s="20"/>
      <c r="U115" s="20"/>
      <c r="V115" s="20"/>
      <c r="W115" s="35" t="str">
        <f>IF(COUNTBLANK(O115:P115)&gt;0,"",IF(AND($W$61&gt;=2,$R115="IF"),data!$D$28,IF(AND($W$61&gt;=2,$R115="I"),data!$E$28,IF(AND($W$61&gt;=2,$R115="AF"),data!$F$28,IF(AND($W$61&gt;=2,$R115="A1"),data!$G$28,IF(AND($W$61&gt;=2,$R115="A2"),data!$H$28,IF(AND($W$61&gt;=2,$R115="SS"),data!$I$28,"")))))))</f>
        <v/>
      </c>
      <c r="X115" s="48"/>
    </row>
    <row r="116" spans="1:24" ht="12" customHeight="1" x14ac:dyDescent="0.2">
      <c r="A116" s="37"/>
      <c r="B116" s="38"/>
      <c r="C116" s="38"/>
      <c r="D116" s="38"/>
      <c r="E116" s="38"/>
      <c r="F116" s="38"/>
      <c r="G116" s="38"/>
      <c r="H116" s="38"/>
      <c r="I116" s="38"/>
      <c r="J116" s="38"/>
      <c r="K116" s="38"/>
      <c r="L116" s="39"/>
      <c r="M116" s="28" t="str">
        <f>IF(OR(ISTEXT(O116),ISTEXT(P116)),MAX(M$19:M115)+1,"")</f>
        <v/>
      </c>
      <c r="N116" s="20"/>
      <c r="O116" s="21"/>
      <c r="P116" s="22"/>
      <c r="Q116" s="16"/>
      <c r="R116" s="26"/>
      <c r="S116" s="20"/>
      <c r="T116" s="20"/>
      <c r="U116" s="20"/>
      <c r="V116" s="20"/>
      <c r="W116" s="35" t="str">
        <f>IF(COUNTBLANK(O116:P116)&gt;0,"",IF(AND($W$61&gt;=2,$R116="IF"),data!$D$28,IF(AND($W$61&gt;=2,$R116="I"),data!$E$28,IF(AND($W$61&gt;=2,$R116="AF"),data!$F$28,IF(AND($W$61&gt;=2,$R116="A1"),data!$G$28,IF(AND($W$61&gt;=2,$R116="A2"),data!$H$28,IF(AND($W$61&gt;=2,$R116="SS"),data!$I$28,"")))))))</f>
        <v/>
      </c>
      <c r="X116" s="48"/>
    </row>
    <row r="117" spans="1:24" ht="12" customHeight="1" x14ac:dyDescent="0.2">
      <c r="A117" s="37"/>
      <c r="B117" s="38"/>
      <c r="C117" s="38"/>
      <c r="D117" s="38"/>
      <c r="E117" s="38"/>
      <c r="F117" s="38"/>
      <c r="G117" s="38"/>
      <c r="H117" s="38"/>
      <c r="I117" s="38"/>
      <c r="J117" s="38"/>
      <c r="K117" s="38"/>
      <c r="L117" s="39"/>
      <c r="M117" s="28" t="str">
        <f>IF(OR(ISTEXT(O117),ISTEXT(P117)),MAX(M$19:M116)+1,"")</f>
        <v/>
      </c>
      <c r="N117" s="20"/>
      <c r="O117" s="21"/>
      <c r="P117" s="22"/>
      <c r="Q117" s="16"/>
      <c r="R117" s="26"/>
      <c r="S117" s="20"/>
      <c r="T117" s="20"/>
      <c r="U117" s="20"/>
      <c r="V117" s="20"/>
      <c r="W117" s="35" t="str">
        <f>IF(COUNTBLANK(O117:P117)&gt;0,"",IF(AND($W$61&gt;=2,$R117="IF"),data!$D$28,IF(AND($W$61&gt;=2,$R117="I"),data!$E$28,IF(AND($W$61&gt;=2,$R117="AF"),data!$F$28,IF(AND($W$61&gt;=2,$R117="A1"),data!$G$28,IF(AND($W$61&gt;=2,$R117="A2"),data!$H$28,IF(AND($W$61&gt;=2,$R117="SS"),data!$I$28,"")))))))</f>
        <v/>
      </c>
      <c r="X117" s="48"/>
    </row>
    <row r="118" spans="1:24" ht="12" customHeight="1" thickBot="1" x14ac:dyDescent="0.25">
      <c r="A118" s="37"/>
      <c r="B118" s="38"/>
      <c r="C118" s="38"/>
      <c r="D118" s="38"/>
      <c r="E118" s="38"/>
      <c r="F118" s="38"/>
      <c r="G118" s="38"/>
      <c r="H118" s="38"/>
      <c r="I118" s="38"/>
      <c r="J118" s="38"/>
      <c r="K118" s="38"/>
      <c r="L118" s="39"/>
      <c r="M118" s="28" t="str">
        <f>IF(OR(ISTEXT(O118),ISTEXT(P118)),MAX(M$19:M117)+1,"")</f>
        <v/>
      </c>
      <c r="N118" s="23"/>
      <c r="O118" s="24"/>
      <c r="P118" s="25"/>
      <c r="Q118" s="16"/>
      <c r="R118" s="27"/>
      <c r="S118" s="23"/>
      <c r="T118" s="23"/>
      <c r="U118" s="23"/>
      <c r="V118" s="23"/>
      <c r="W118" s="35" t="str">
        <f>IF(COUNTBLANK(O118:P118)&gt;0,"",IF(AND($W$61&gt;=2,$R118="IF"),data!$D$28,IF(AND($W$61&gt;=2,$R118="I"),data!$E$28,IF(AND($W$61&gt;=2,$R118="AF"),data!$F$28,IF(AND($W$61&gt;=2,$R118="A1"),data!$G$28,IF(AND($W$61&gt;=2,$R118="A2"),data!$H$28,IF(AND($W$61&gt;=2,$R118="SS"),data!$I$28,"")))))))</f>
        <v/>
      </c>
      <c r="X118" s="49"/>
    </row>
    <row r="119" spans="1:24" ht="11.1" customHeight="1" x14ac:dyDescent="0.2">
      <c r="A119" s="37"/>
      <c r="B119" s="38"/>
      <c r="C119" s="38"/>
      <c r="D119" s="38"/>
      <c r="E119" s="38"/>
      <c r="F119" s="38"/>
      <c r="G119" s="38"/>
      <c r="H119" s="38"/>
      <c r="I119" s="38"/>
      <c r="J119" s="38"/>
      <c r="K119" s="38"/>
      <c r="L119" s="39"/>
      <c r="M119" s="191"/>
      <c r="N119" s="143" t="s">
        <v>105</v>
      </c>
      <c r="O119" s="144"/>
      <c r="P119" s="145"/>
      <c r="Q119" s="151" t="str">
        <f>IF(OR($W$61=2,$W$61=3),COUNTA(P99:P118),"")</f>
        <v/>
      </c>
      <c r="R119" s="176" t="str">
        <f>data!$C$57</f>
        <v>Sub-total of fees in C$</v>
      </c>
      <c r="S119" s="177"/>
      <c r="T119" s="177"/>
      <c r="U119" s="177"/>
      <c r="V119" s="178"/>
      <c r="W119" s="184" t="str">
        <f>IF(OR($W$61=2,$W$61=3),SUM(W99:W118),"")</f>
        <v/>
      </c>
      <c r="X119" s="171"/>
    </row>
    <row r="120" spans="1:24" ht="11.1" customHeight="1" thickBot="1" x14ac:dyDescent="0.25">
      <c r="A120" s="37"/>
      <c r="B120" s="38"/>
      <c r="C120" s="38"/>
      <c r="D120" s="38"/>
      <c r="E120" s="38"/>
      <c r="F120" s="38"/>
      <c r="G120" s="38"/>
      <c r="H120" s="38"/>
      <c r="I120" s="38"/>
      <c r="J120" s="38"/>
      <c r="K120" s="38"/>
      <c r="L120" s="39"/>
      <c r="M120" s="192"/>
      <c r="N120" s="146"/>
      <c r="O120" s="147"/>
      <c r="P120" s="148"/>
      <c r="Q120" s="152"/>
      <c r="R120" s="179"/>
      <c r="S120" s="180"/>
      <c r="T120" s="180"/>
      <c r="U120" s="180"/>
      <c r="V120" s="181"/>
      <c r="W120" s="185"/>
      <c r="X120" s="172"/>
    </row>
    <row r="121" spans="1:24" ht="6.75" customHeight="1" x14ac:dyDescent="0.2">
      <c r="A121" s="37"/>
      <c r="B121" s="38"/>
      <c r="C121" s="38"/>
      <c r="D121" s="38"/>
      <c r="E121" s="38"/>
      <c r="F121" s="38"/>
      <c r="G121" s="38"/>
      <c r="H121" s="38"/>
      <c r="I121" s="38"/>
      <c r="J121" s="38"/>
      <c r="K121" s="38"/>
      <c r="L121" s="39"/>
      <c r="M121" s="192"/>
      <c r="N121" s="143" t="s">
        <v>244</v>
      </c>
      <c r="O121" s="144"/>
      <c r="P121" s="145"/>
      <c r="Q121" s="151" t="str">
        <f>IF(AND(OR(NOT($Q$94=0),NOT($Q$119=0)),$W$61=2),SUM($Q$29,$Q$54,$Q$94,$Q$119),IF(AND(OR(NOT($Q$94=0),NOT($Q$119=0)),$W$61=3),SUM($Q$29,$Q$54,$Q$94,$Q$119,$Q$157,$Q$182),""))</f>
        <v/>
      </c>
      <c r="R121" s="176" t="s">
        <v>225</v>
      </c>
      <c r="S121" s="177"/>
      <c r="T121" s="177"/>
      <c r="U121" s="177"/>
      <c r="V121" s="178"/>
      <c r="W121" s="184" t="str">
        <f>IF(AND(OR(NOT($W$94=0),NOT($W$119=0)),($W$61=2)),SUM($W$29,$W$54,$W$94,$W$119),IF(AND(OR(NOT($W$94=0),NOT($W$119=0)),($W$61=3)),SUM($W$29,$W$54,$W$94,$W$119,$W$157,$W$182),""))</f>
        <v/>
      </c>
      <c r="X121" s="173"/>
    </row>
    <row r="122" spans="1:24" ht="12" customHeight="1" x14ac:dyDescent="0.2">
      <c r="A122" s="37"/>
      <c r="B122" s="38"/>
      <c r="C122" s="38"/>
      <c r="D122" s="38"/>
      <c r="E122" s="38"/>
      <c r="F122" s="38"/>
      <c r="G122" s="38"/>
      <c r="H122" s="38"/>
      <c r="I122" s="38"/>
      <c r="J122" s="38"/>
      <c r="K122" s="38"/>
      <c r="L122" s="39"/>
      <c r="M122" s="192"/>
      <c r="N122" s="194"/>
      <c r="O122" s="195"/>
      <c r="P122" s="196"/>
      <c r="Q122" s="197"/>
      <c r="R122" s="198"/>
      <c r="S122" s="199"/>
      <c r="T122" s="199"/>
      <c r="U122" s="199"/>
      <c r="V122" s="200"/>
      <c r="W122" s="186"/>
      <c r="X122" s="174"/>
    </row>
    <row r="123" spans="1:24" ht="11.1" customHeight="1" thickBot="1" x14ac:dyDescent="0.25">
      <c r="A123" s="44"/>
      <c r="B123" s="45"/>
      <c r="C123" s="45"/>
      <c r="D123" s="45"/>
      <c r="E123" s="45"/>
      <c r="F123" s="45"/>
      <c r="G123" s="45"/>
      <c r="H123" s="45"/>
      <c r="I123" s="45"/>
      <c r="J123" s="45"/>
      <c r="K123" s="45"/>
      <c r="L123" s="46"/>
      <c r="M123" s="193"/>
      <c r="N123" s="146"/>
      <c r="O123" s="147"/>
      <c r="P123" s="148"/>
      <c r="Q123" s="152"/>
      <c r="R123" s="179"/>
      <c r="S123" s="180"/>
      <c r="T123" s="180"/>
      <c r="U123" s="180"/>
      <c r="V123" s="181"/>
      <c r="W123" s="185"/>
      <c r="X123" s="175"/>
    </row>
    <row r="124" spans="1:24" ht="11.1" customHeight="1" x14ac:dyDescent="0.2">
      <c r="A124" s="30"/>
      <c r="B124" s="30"/>
      <c r="C124" s="30"/>
      <c r="D124" s="30"/>
      <c r="E124" s="30"/>
      <c r="F124" s="30"/>
      <c r="G124" s="32"/>
      <c r="H124" s="32"/>
      <c r="I124" s="32"/>
      <c r="J124" s="32"/>
      <c r="K124" s="32"/>
      <c r="L124" s="32"/>
      <c r="M124" s="32"/>
      <c r="N124" s="32"/>
      <c r="O124" s="32"/>
      <c r="P124" s="32"/>
      <c r="Q124" s="32"/>
      <c r="R124" s="32"/>
      <c r="S124" s="32"/>
      <c r="T124" s="32"/>
      <c r="U124" s="32"/>
      <c r="V124" s="32"/>
      <c r="W124" s="32"/>
      <c r="X124" s="32"/>
    </row>
    <row r="125" spans="1:24" ht="11.1" customHeight="1" x14ac:dyDescent="0.2">
      <c r="A125" s="33"/>
      <c r="B125" s="33"/>
      <c r="C125" s="33"/>
      <c r="D125" s="33"/>
      <c r="E125" s="33"/>
      <c r="F125" s="33"/>
      <c r="G125" s="41"/>
      <c r="H125" s="41"/>
      <c r="I125" s="41"/>
      <c r="J125" s="41"/>
      <c r="K125" s="41"/>
      <c r="L125" s="41"/>
      <c r="M125" s="41"/>
      <c r="N125" s="41"/>
      <c r="O125" s="41"/>
      <c r="P125" s="41"/>
      <c r="Q125" s="41"/>
      <c r="R125" s="41"/>
      <c r="S125" s="41"/>
      <c r="T125" s="41"/>
      <c r="U125" s="41"/>
      <c r="V125" s="41"/>
      <c r="W125" s="41"/>
      <c r="X125" s="41"/>
    </row>
    <row r="126" spans="1:24" ht="12" customHeight="1" x14ac:dyDescent="0.2">
      <c r="A126" s="33"/>
      <c r="B126" s="33"/>
      <c r="C126" s="33"/>
      <c r="D126" s="33"/>
      <c r="E126" s="33"/>
      <c r="F126" s="33"/>
      <c r="G126" s="41"/>
      <c r="H126" s="41"/>
      <c r="I126" s="41"/>
      <c r="J126" s="41"/>
      <c r="K126" s="41"/>
      <c r="L126" s="41"/>
      <c r="M126" s="41"/>
      <c r="N126" s="41"/>
      <c r="O126" s="41"/>
      <c r="P126" s="103"/>
      <c r="Q126" s="370" t="s">
        <v>157</v>
      </c>
      <c r="R126" s="371"/>
      <c r="S126" s="167" t="str">
        <f>IF(OR($W$61=2,$W$61=3),2,"")</f>
        <v/>
      </c>
      <c r="T126" s="168"/>
      <c r="U126" s="169" t="s">
        <v>52</v>
      </c>
      <c r="V126" s="170"/>
      <c r="W126" s="51" t="str">
        <f>IF(OR($W$61=2,$W$61=3),$W$61,"")</f>
        <v/>
      </c>
      <c r="X126" s="41"/>
    </row>
    <row r="132" spans="1:24" ht="11.1" customHeight="1" x14ac:dyDescent="0.2">
      <c r="A132" s="291"/>
      <c r="B132" s="292"/>
      <c r="C132" s="292"/>
      <c r="D132" s="292"/>
      <c r="E132" s="292"/>
      <c r="F132" s="293" t="s">
        <v>325</v>
      </c>
      <c r="G132" s="293"/>
      <c r="H132" s="293"/>
      <c r="I132" s="293"/>
      <c r="J132" s="293"/>
      <c r="K132" s="293"/>
      <c r="L132" s="293"/>
      <c r="M132" s="293"/>
      <c r="N132" s="256" t="s">
        <v>174</v>
      </c>
      <c r="O132" s="257"/>
      <c r="P132" s="257"/>
      <c r="Q132" s="52"/>
      <c r="R132" s="52"/>
      <c r="S132" s="52"/>
      <c r="T132" s="52"/>
      <c r="U132" s="52"/>
      <c r="V132" s="52"/>
      <c r="W132" s="52"/>
      <c r="X132" s="52"/>
    </row>
    <row r="133" spans="1:24" ht="11.1" customHeight="1" thickBot="1" x14ac:dyDescent="0.25">
      <c r="A133" s="292"/>
      <c r="B133" s="292"/>
      <c r="C133" s="292"/>
      <c r="D133" s="292"/>
      <c r="E133" s="292"/>
      <c r="F133" s="293" t="s">
        <v>326</v>
      </c>
      <c r="G133" s="293"/>
      <c r="H133" s="293"/>
      <c r="I133" s="293"/>
      <c r="J133" s="293"/>
      <c r="K133" s="293"/>
      <c r="L133" s="293"/>
      <c r="M133" s="293"/>
      <c r="N133" s="257"/>
      <c r="O133" s="257"/>
      <c r="P133" s="257"/>
      <c r="Q133" s="52"/>
      <c r="R133" s="52"/>
      <c r="S133" s="52"/>
      <c r="T133" s="52"/>
      <c r="U133" s="52"/>
      <c r="V133" s="52"/>
      <c r="W133" s="52"/>
      <c r="X133" s="52"/>
    </row>
    <row r="134" spans="1:24" ht="11.1" customHeight="1" x14ac:dyDescent="0.2">
      <c r="A134" s="292"/>
      <c r="B134" s="292"/>
      <c r="C134" s="292"/>
      <c r="D134" s="292"/>
      <c r="E134" s="292"/>
      <c r="F134" s="293" t="s">
        <v>336</v>
      </c>
      <c r="G134" s="293"/>
      <c r="H134" s="293"/>
      <c r="I134" s="293"/>
      <c r="J134" s="293"/>
      <c r="K134" s="293"/>
      <c r="L134" s="293"/>
      <c r="M134" s="293"/>
      <c r="N134" s="257"/>
      <c r="O134" s="257"/>
      <c r="P134" s="257"/>
      <c r="Q134" s="53"/>
      <c r="R134" s="243" t="s">
        <v>6</v>
      </c>
      <c r="S134" s="244"/>
      <c r="T134" s="245"/>
      <c r="U134" s="311" t="s">
        <v>180</v>
      </c>
      <c r="V134" s="312"/>
      <c r="W134" s="312"/>
      <c r="X134" s="313"/>
    </row>
    <row r="135" spans="1:24" ht="11.1" customHeight="1" thickBot="1" x14ac:dyDescent="0.25">
      <c r="A135" s="292"/>
      <c r="B135" s="292"/>
      <c r="C135" s="292"/>
      <c r="D135" s="292"/>
      <c r="E135" s="292"/>
      <c r="F135" s="293" t="s">
        <v>337</v>
      </c>
      <c r="G135" s="293"/>
      <c r="H135" s="293"/>
      <c r="I135" s="293"/>
      <c r="J135" s="293"/>
      <c r="K135" s="293"/>
      <c r="L135" s="293"/>
      <c r="M135" s="293"/>
      <c r="N135" s="258" t="s">
        <v>339</v>
      </c>
      <c r="O135" s="259"/>
      <c r="P135" s="259"/>
      <c r="Q135" s="53"/>
      <c r="R135" s="246"/>
      <c r="S135" s="247"/>
      <c r="T135" s="248"/>
      <c r="U135" s="314"/>
      <c r="V135" s="315"/>
      <c r="W135" s="315"/>
      <c r="X135" s="316"/>
    </row>
    <row r="136" spans="1:24" ht="11.1" customHeight="1" x14ac:dyDescent="0.2">
      <c r="A136" s="292"/>
      <c r="B136" s="292"/>
      <c r="C136" s="292"/>
      <c r="D136" s="292"/>
      <c r="E136" s="292"/>
      <c r="F136" s="293" t="s">
        <v>338</v>
      </c>
      <c r="G136" s="293"/>
      <c r="H136" s="293"/>
      <c r="I136" s="293"/>
      <c r="J136" s="293"/>
      <c r="K136" s="293"/>
      <c r="L136" s="293"/>
      <c r="M136" s="293"/>
      <c r="N136" s="259"/>
      <c r="O136" s="259"/>
      <c r="P136" s="259"/>
      <c r="Q136" s="53"/>
      <c r="R136" s="53"/>
      <c r="S136" s="53"/>
      <c r="T136" s="53"/>
      <c r="U136" s="53"/>
      <c r="V136" s="53"/>
      <c r="W136" s="53"/>
      <c r="X136" s="53"/>
    </row>
    <row r="137" spans="1:24" ht="11.1" customHeight="1" x14ac:dyDescent="0.2">
      <c r="A137" s="292"/>
      <c r="B137" s="292"/>
      <c r="C137" s="292"/>
      <c r="D137" s="292"/>
      <c r="E137" s="292"/>
      <c r="F137" s="294" t="s">
        <v>330</v>
      </c>
      <c r="G137" s="293"/>
      <c r="H137" s="293"/>
      <c r="I137" s="293"/>
      <c r="J137" s="293"/>
      <c r="K137" s="293"/>
      <c r="L137" s="293"/>
      <c r="M137" s="293"/>
      <c r="N137" s="260" t="s">
        <v>72</v>
      </c>
      <c r="O137" s="261"/>
      <c r="P137" s="261"/>
      <c r="Q137" s="113"/>
      <c r="U137" s="296" t="s">
        <v>260</v>
      </c>
      <c r="V137" s="296"/>
      <c r="W137" s="296"/>
      <c r="X137" s="296"/>
    </row>
    <row r="138" spans="1:24" ht="11.1" customHeight="1" x14ac:dyDescent="0.2">
      <c r="A138" s="292"/>
      <c r="B138" s="292"/>
      <c r="C138" s="292"/>
      <c r="D138" s="292"/>
      <c r="E138" s="292"/>
      <c r="F138" s="295" t="s">
        <v>222</v>
      </c>
      <c r="G138" s="295"/>
      <c r="H138" s="295"/>
      <c r="I138" s="295"/>
      <c r="J138" s="295"/>
      <c r="K138" s="295"/>
      <c r="L138" s="295"/>
      <c r="M138" s="295"/>
      <c r="N138" s="261" t="s">
        <v>175</v>
      </c>
      <c r="O138" s="261"/>
      <c r="P138" s="261"/>
      <c r="Q138" s="113"/>
      <c r="U138" s="297"/>
      <c r="V138" s="298"/>
      <c r="W138" s="153" t="s">
        <v>75</v>
      </c>
      <c r="X138" s="154"/>
    </row>
    <row r="139" spans="1:24" ht="11.1" customHeight="1" x14ac:dyDescent="0.2">
      <c r="A139" s="290"/>
      <c r="B139" s="290"/>
      <c r="C139" s="290"/>
      <c r="D139" s="290"/>
      <c r="E139" s="290"/>
      <c r="F139" s="116"/>
      <c r="G139" s="116"/>
      <c r="H139" s="116"/>
      <c r="I139" s="116"/>
      <c r="J139" s="116"/>
      <c r="K139" s="116"/>
      <c r="L139" s="116"/>
      <c r="M139" s="116"/>
      <c r="N139" s="41"/>
      <c r="O139" s="41"/>
      <c r="P139" s="41"/>
      <c r="Q139" s="41"/>
      <c r="R139" s="41"/>
      <c r="S139" s="41"/>
      <c r="T139" s="41"/>
      <c r="U139" s="241"/>
      <c r="V139" s="242"/>
      <c r="W139" s="153" t="s">
        <v>308</v>
      </c>
      <c r="X139" s="154"/>
    </row>
    <row r="140" spans="1:24" ht="11.1" customHeight="1" x14ac:dyDescent="0.2">
      <c r="A140" s="290"/>
      <c r="B140" s="290"/>
      <c r="C140" s="290"/>
      <c r="D140" s="290"/>
      <c r="E140" s="290"/>
      <c r="F140" s="117"/>
      <c r="G140" s="117"/>
      <c r="H140" s="118"/>
      <c r="I140" s="118"/>
      <c r="J140" s="118"/>
      <c r="K140" s="118"/>
      <c r="L140" s="118"/>
      <c r="N140" s="126" t="str">
        <f>IF(COUNTBLANK(W189:W189)=1,"",IF(COUNTIF('Candidate Personal Info (VEF2)'!R12:R2085,"P")=(8*'Candidate Personal Info (VEF2)'!P33),"P","O"))</f>
        <v/>
      </c>
      <c r="O140" s="155" t="str">
        <f>IF(COUNTBLANK(W189:W189)=1,"Candidate Personal Information Check",IF(COUNTIF('Candidate Personal Info (VEF2)'!R12:R2085,"P")=(8*'Candidate Personal Info (VEF2)'!P33),"Candidate Personal Information Complete!","Candidate Personal Information Missing"))</f>
        <v>Candidate Personal Information Check</v>
      </c>
      <c r="P140" s="156"/>
      <c r="Q140" s="156"/>
      <c r="R140" s="157"/>
      <c r="S140" s="41"/>
      <c r="T140" s="41"/>
      <c r="U140" s="254"/>
      <c r="V140" s="255"/>
      <c r="W140" s="153" t="s">
        <v>8</v>
      </c>
      <c r="X140" s="154"/>
    </row>
    <row r="141" spans="1:24" ht="11.1" customHeight="1" thickBot="1" x14ac:dyDescent="0.25">
      <c r="A141" s="366"/>
      <c r="B141" s="366"/>
      <c r="C141" s="366"/>
      <c r="D141" s="366"/>
      <c r="E141" s="366"/>
      <c r="F141" s="367"/>
      <c r="G141" s="367"/>
      <c r="H141" s="367"/>
      <c r="I141" s="367"/>
      <c r="J141" s="367"/>
      <c r="K141" s="367"/>
      <c r="L141" s="367"/>
      <c r="M141" s="367"/>
      <c r="N141" s="29"/>
      <c r="O141" s="29"/>
      <c r="P141" s="29"/>
      <c r="Q141" s="29"/>
      <c r="R141" s="29"/>
      <c r="S141" s="29"/>
      <c r="T141" s="29"/>
      <c r="U141" s="29"/>
      <c r="V141" s="29"/>
      <c r="W141" s="29"/>
      <c r="X141" s="29"/>
    </row>
    <row r="142" spans="1:24" ht="11.1" customHeight="1" x14ac:dyDescent="0.2">
      <c r="A142" s="216" t="s">
        <v>152</v>
      </c>
      <c r="B142" s="217"/>
      <c r="C142" s="217"/>
      <c r="D142" s="217"/>
      <c r="E142" s="217"/>
      <c r="F142" s="217"/>
      <c r="G142" s="217"/>
      <c r="H142" s="217"/>
      <c r="I142" s="217"/>
      <c r="J142" s="217"/>
      <c r="K142" s="217"/>
      <c r="L142" s="218"/>
      <c r="M142" s="287"/>
      <c r="N142" s="216" t="s">
        <v>290</v>
      </c>
      <c r="O142" s="249"/>
      <c r="P142" s="249"/>
      <c r="Q142" s="249"/>
      <c r="R142" s="249"/>
      <c r="S142" s="249"/>
      <c r="T142" s="249"/>
      <c r="U142" s="249"/>
      <c r="V142" s="249"/>
      <c r="W142" s="249"/>
      <c r="X142" s="250"/>
    </row>
    <row r="143" spans="1:24" ht="11.1" customHeight="1" thickBot="1" x14ac:dyDescent="0.25">
      <c r="A143" s="219"/>
      <c r="B143" s="220"/>
      <c r="C143" s="220"/>
      <c r="D143" s="220"/>
      <c r="E143" s="220"/>
      <c r="F143" s="220"/>
      <c r="G143" s="220"/>
      <c r="H143" s="220"/>
      <c r="I143" s="220"/>
      <c r="J143" s="220"/>
      <c r="K143" s="220"/>
      <c r="L143" s="221"/>
      <c r="M143" s="288"/>
      <c r="N143" s="251"/>
      <c r="O143" s="252"/>
      <c r="P143" s="252"/>
      <c r="Q143" s="252"/>
      <c r="R143" s="252"/>
      <c r="S143" s="252"/>
      <c r="T143" s="252"/>
      <c r="U143" s="252"/>
      <c r="V143" s="252"/>
      <c r="W143" s="252"/>
      <c r="X143" s="253"/>
    </row>
    <row r="144" spans="1:24" ht="12.75" customHeight="1" thickBot="1" x14ac:dyDescent="0.25">
      <c r="A144" s="222" t="s">
        <v>223</v>
      </c>
      <c r="B144" s="240"/>
      <c r="C144" s="223"/>
      <c r="D144" s="164" t="str">
        <f>IF(AND($W$61=3,NOT(ISBLANK($D$16))),$D$16,"")</f>
        <v/>
      </c>
      <c r="E144" s="165"/>
      <c r="F144" s="165"/>
      <c r="G144" s="165"/>
      <c r="H144" s="165"/>
      <c r="I144" s="238"/>
      <c r="J144" s="104" t="s">
        <v>224</v>
      </c>
      <c r="K144" s="164" t="str">
        <f>IF(AND($W$61=3,NOT(ISBLANK($K$16))),$K$16,"")</f>
        <v/>
      </c>
      <c r="L144" s="166"/>
      <c r="M144" s="288"/>
      <c r="N144" s="137" t="s">
        <v>164</v>
      </c>
      <c r="O144" s="138"/>
      <c r="P144" s="160"/>
      <c r="Q144" s="138"/>
      <c r="R144" s="138"/>
      <c r="S144" s="138"/>
      <c r="T144" s="138"/>
      <c r="U144" s="138"/>
      <c r="V144" s="138"/>
      <c r="W144" s="138"/>
      <c r="X144" s="140"/>
    </row>
    <row r="145" spans="1:24" ht="12" customHeight="1" x14ac:dyDescent="0.2">
      <c r="A145" s="222" t="s">
        <v>321</v>
      </c>
      <c r="B145" s="240"/>
      <c r="C145" s="223"/>
      <c r="D145" s="164" t="str">
        <f>IF(AND($W$61=3,NOT(ISBLANK($D$17))),$D$17,"")</f>
        <v/>
      </c>
      <c r="E145" s="165"/>
      <c r="F145" s="165"/>
      <c r="G145" s="165"/>
      <c r="H145" s="165"/>
      <c r="I145" s="165"/>
      <c r="J145" s="165"/>
      <c r="K145" s="165"/>
      <c r="L145" s="166"/>
      <c r="M145" s="288"/>
      <c r="N145" s="158" t="s">
        <v>240</v>
      </c>
      <c r="O145" s="149" t="s">
        <v>241</v>
      </c>
      <c r="P145" s="149" t="s">
        <v>171</v>
      </c>
      <c r="Q145" s="141" t="s">
        <v>214</v>
      </c>
      <c r="R145" s="149" t="s">
        <v>221</v>
      </c>
      <c r="S145" s="262" t="s">
        <v>264</v>
      </c>
      <c r="T145" s="263"/>
      <c r="U145" s="263"/>
      <c r="V145" s="264"/>
      <c r="W145" s="149" t="s">
        <v>242</v>
      </c>
      <c r="X145" s="182" t="s">
        <v>180</v>
      </c>
    </row>
    <row r="146" spans="1:24" ht="12" customHeight="1" thickBot="1" x14ac:dyDescent="0.25">
      <c r="A146" s="222" t="s">
        <v>322</v>
      </c>
      <c r="B146" s="240"/>
      <c r="C146" s="223"/>
      <c r="D146" s="164" t="str">
        <f>IF(AND($W$61=3,NOT(ISBLANK($D$18))),$D$18,"")</f>
        <v/>
      </c>
      <c r="E146" s="165"/>
      <c r="F146" s="165"/>
      <c r="G146" s="165"/>
      <c r="H146" s="165"/>
      <c r="I146" s="165"/>
      <c r="J146" s="165"/>
      <c r="K146" s="165"/>
      <c r="L146" s="166"/>
      <c r="M146" s="289"/>
      <c r="N146" s="159"/>
      <c r="O146" s="150"/>
      <c r="P146" s="150"/>
      <c r="Q146" s="142"/>
      <c r="R146" s="150"/>
      <c r="S146" s="40">
        <v>1</v>
      </c>
      <c r="T146" s="40">
        <v>2</v>
      </c>
      <c r="U146" s="40">
        <v>3</v>
      </c>
      <c r="V146" s="40">
        <v>4</v>
      </c>
      <c r="W146" s="150"/>
      <c r="X146" s="183"/>
    </row>
    <row r="147" spans="1:24" ht="12" customHeight="1" x14ac:dyDescent="0.2">
      <c r="A147" s="222" t="s">
        <v>323</v>
      </c>
      <c r="B147" s="240"/>
      <c r="C147" s="223"/>
      <c r="D147" s="164" t="str">
        <f>IF(AND($W$61=3,NOT(ISBLANK($D$19))),$D$19,"")</f>
        <v/>
      </c>
      <c r="E147" s="165"/>
      <c r="F147" s="165"/>
      <c r="G147" s="165"/>
      <c r="H147" s="165"/>
      <c r="I147" s="165"/>
      <c r="J147" s="165"/>
      <c r="K147" s="165"/>
      <c r="L147" s="166"/>
      <c r="M147" s="28" t="str">
        <f>IF(OR(ISTEXT(O147),ISTEXT(P147)),MAX(M$19:M146)+1,"")</f>
        <v/>
      </c>
      <c r="N147" s="20"/>
      <c r="O147" s="21"/>
      <c r="P147" s="22"/>
      <c r="Q147" s="16"/>
      <c r="R147" s="20"/>
      <c r="S147" s="20"/>
      <c r="T147" s="20"/>
      <c r="U147" s="20"/>
      <c r="V147" s="20"/>
      <c r="W147" s="35" t="str">
        <f>IF(COUNTBLANK(O147:P147)&gt;0,"",IF(AND($W$61&gt;=3,$R147="IF"),data!$D$10,IF(AND($W$61&gt;=3,$R147="I"),data!$E$10,IF(AND($W$61&gt;=3,$R147="AF"),data!$F$10,IF(AND($W$61&gt;=3,$R147="A1"),data!$G$10,IF(AND($W$61&gt;=3,$R147="A2"),data!$H$10,IF(AND($W$61&gt;=3,$R147="SS"),data!$I$10,"")))))))</f>
        <v/>
      </c>
      <c r="X147" s="48"/>
    </row>
    <row r="148" spans="1:24" ht="12" customHeight="1" x14ac:dyDescent="0.2">
      <c r="A148" s="161" t="s">
        <v>131</v>
      </c>
      <c r="B148" s="162"/>
      <c r="C148" s="163"/>
      <c r="D148" s="164" t="str">
        <f>IF(AND($W$61=3,NOT(ISBLANK($D$20))),$D$20,"")</f>
        <v/>
      </c>
      <c r="E148" s="165"/>
      <c r="F148" s="165"/>
      <c r="G148" s="165"/>
      <c r="H148" s="165"/>
      <c r="I148" s="165"/>
      <c r="J148" s="165"/>
      <c r="K148" s="165"/>
      <c r="L148" s="166"/>
      <c r="M148" s="28" t="str">
        <f>IF(OR(ISTEXT(O148),ISTEXT(P148)),MAX(M$19:M147)+1,"")</f>
        <v/>
      </c>
      <c r="N148" s="20"/>
      <c r="O148" s="21"/>
      <c r="P148" s="22"/>
      <c r="Q148" s="16"/>
      <c r="R148" s="20"/>
      <c r="S148" s="20"/>
      <c r="T148" s="20"/>
      <c r="U148" s="20"/>
      <c r="V148" s="20"/>
      <c r="W148" s="35" t="str">
        <f>IF(COUNTBLANK(O148:P148)&gt;0,"",IF(AND($W$61&gt;=3,$R148="IF"),data!$D$10,IF(AND($W$61&gt;=3,$R148="I"),data!$E$10,IF(AND($W$61&gt;=3,$R148="AF"),data!$F$10,IF(AND($W$61&gt;=3,$R148="A1"),data!$G$10,IF(AND($W$61&gt;=3,$R148="A2"),data!$H$10,IF(AND($W$61&gt;=3,$R148="SS"),data!$I$10,"")))))))</f>
        <v/>
      </c>
      <c r="X148" s="48"/>
    </row>
    <row r="149" spans="1:24" ht="12" customHeight="1" x14ac:dyDescent="0.2">
      <c r="A149" s="161" t="s">
        <v>177</v>
      </c>
      <c r="B149" s="162"/>
      <c r="C149" s="163"/>
      <c r="D149" s="164" t="str">
        <f>IF(AND($W$61=3,NOT(ISBLANK($D$21))),$D$21,"")</f>
        <v/>
      </c>
      <c r="E149" s="165"/>
      <c r="F149" s="165"/>
      <c r="G149" s="165"/>
      <c r="H149" s="165"/>
      <c r="I149" s="165"/>
      <c r="J149" s="165"/>
      <c r="K149" s="165"/>
      <c r="L149" s="166"/>
      <c r="M149" s="28" t="str">
        <f>IF(OR(ISTEXT(O149),ISTEXT(P149)),MAX(M$19:M148)+1,"")</f>
        <v/>
      </c>
      <c r="N149" s="20"/>
      <c r="O149" s="21"/>
      <c r="P149" s="22"/>
      <c r="Q149" s="16"/>
      <c r="R149" s="20"/>
      <c r="S149" s="20"/>
      <c r="T149" s="20"/>
      <c r="U149" s="20"/>
      <c r="V149" s="20"/>
      <c r="W149" s="35" t="str">
        <f>IF(COUNTBLANK(O149:P149)&gt;0,"",IF(AND($W$61&gt;=3,$R149="IF"),data!$D$10,IF(AND($W$61&gt;=3,$R149="I"),data!$E$10,IF(AND($W$61&gt;=3,$R149="AF"),data!$F$10,IF(AND($W$61&gt;=3,$R149="A1"),data!$G$10,IF(AND($W$61&gt;=3,$R149="A2"),data!$H$10,IF(AND($W$61&gt;=3,$R149="SS"),data!$I$10,"")))))))</f>
        <v/>
      </c>
      <c r="X149" s="48"/>
    </row>
    <row r="150" spans="1:24" ht="12" customHeight="1" x14ac:dyDescent="0.2">
      <c r="A150" s="161" t="s">
        <v>178</v>
      </c>
      <c r="B150" s="162"/>
      <c r="C150" s="163"/>
      <c r="D150" s="164" t="str">
        <f>IF(AND($W$61=3,NOT(ISBLANK($D$22))),$D$22,"")</f>
        <v/>
      </c>
      <c r="E150" s="165"/>
      <c r="F150" s="165"/>
      <c r="G150" s="238"/>
      <c r="H150" s="239" t="s">
        <v>212</v>
      </c>
      <c r="I150" s="223"/>
      <c r="J150" s="164" t="str">
        <f>IF(AND($W$61=3,NOT(ISBLANK($J$22))),$J$22,"")</f>
        <v/>
      </c>
      <c r="K150" s="165"/>
      <c r="L150" s="166"/>
      <c r="M150" s="28" t="str">
        <f>IF(OR(ISTEXT(O150),ISTEXT(P150)),MAX(M$19:M149)+1,"")</f>
        <v/>
      </c>
      <c r="N150" s="20"/>
      <c r="O150" s="21"/>
      <c r="P150" s="22"/>
      <c r="Q150" s="16"/>
      <c r="R150" s="20"/>
      <c r="S150" s="20"/>
      <c r="T150" s="20"/>
      <c r="U150" s="20"/>
      <c r="V150" s="20"/>
      <c r="W150" s="35" t="str">
        <f>IF(COUNTBLANK(O150:P150)&gt;0,"",IF(AND($W$61&gt;=3,$R150="IF"),data!$D$10,IF(AND($W$61&gt;=3,$R150="I"),data!$E$10,IF(AND($W$61&gt;=3,$R150="AF"),data!$F$10,IF(AND($W$61&gt;=3,$R150="A1"),data!$G$10,IF(AND($W$61&gt;=3,$R150="A2"),data!$H$10,IF(AND($W$61&gt;=3,$R150="SS"),data!$I$10,"")))))))</f>
        <v/>
      </c>
      <c r="X150" s="48"/>
    </row>
    <row r="151" spans="1:24" ht="12" customHeight="1" x14ac:dyDescent="0.2">
      <c r="A151" s="222" t="s">
        <v>133</v>
      </c>
      <c r="B151" s="240"/>
      <c r="C151" s="223"/>
      <c r="D151" s="164" t="str">
        <f>IF(AND($W$61=3,NOT(ISBLANK($D$23))),$D$23,"")</f>
        <v/>
      </c>
      <c r="E151" s="165"/>
      <c r="F151" s="165"/>
      <c r="G151" s="165"/>
      <c r="H151" s="238"/>
      <c r="I151" s="105" t="s">
        <v>132</v>
      </c>
      <c r="J151" s="164" t="str">
        <f>IF(AND($W$61=3,NOT(ISBLANK($J$23))),$J$23,"")</f>
        <v/>
      </c>
      <c r="K151" s="165"/>
      <c r="L151" s="166"/>
      <c r="M151" s="28" t="str">
        <f>IF(OR(ISTEXT(O151),ISTEXT(P151)),MAX(M$19:M150)+1,"")</f>
        <v/>
      </c>
      <c r="N151" s="20"/>
      <c r="O151" s="21"/>
      <c r="P151" s="22"/>
      <c r="Q151" s="16"/>
      <c r="R151" s="20"/>
      <c r="S151" s="20"/>
      <c r="T151" s="20"/>
      <c r="U151" s="20"/>
      <c r="V151" s="20"/>
      <c r="W151" s="35" t="str">
        <f>IF(COUNTBLANK(O151:P151)&gt;0,"",IF(AND($W$61&gt;=3,$R151="IF"),data!$D$10,IF(AND($W$61&gt;=3,$R151="I"),data!$E$10,IF(AND($W$61&gt;=3,$R151="AF"),data!$F$10,IF(AND($W$61&gt;=3,$R151="A1"),data!$G$10,IF(AND($W$61&gt;=3,$R151="A2"),data!$H$10,IF(AND($W$61&gt;=3,$R151="SS"),data!$I$10,"")))))))</f>
        <v/>
      </c>
      <c r="X151" s="48"/>
    </row>
    <row r="152" spans="1:24" ht="12" customHeight="1" x14ac:dyDescent="0.2">
      <c r="A152" s="161" t="s">
        <v>151</v>
      </c>
      <c r="B152" s="162"/>
      <c r="C152" s="163"/>
      <c r="D152" s="164" t="str">
        <f>IF(AND($W$61=3,NOT(ISBLANK($D$24))),$D$24,"")</f>
        <v/>
      </c>
      <c r="E152" s="165"/>
      <c r="F152" s="165"/>
      <c r="G152" s="165"/>
      <c r="H152" s="165"/>
      <c r="I152" s="165"/>
      <c r="J152" s="165"/>
      <c r="K152" s="165"/>
      <c r="L152" s="166"/>
      <c r="M152" s="28" t="str">
        <f>IF(OR(ISTEXT(O152),ISTEXT(P152)),MAX(M$19:M151)+1,"")</f>
        <v/>
      </c>
      <c r="N152" s="20"/>
      <c r="O152" s="21"/>
      <c r="P152" s="22"/>
      <c r="Q152" s="16"/>
      <c r="R152" s="20"/>
      <c r="S152" s="20"/>
      <c r="T152" s="20"/>
      <c r="U152" s="20"/>
      <c r="V152" s="20"/>
      <c r="W152" s="35" t="str">
        <f>IF(COUNTBLANK(O152:P152)&gt;0,"",IF(AND($W$61&gt;=3,$R152="IF"),data!$D$10,IF(AND($W$61&gt;=3,$R152="I"),data!$E$10,IF(AND($W$61&gt;=3,$R152="AF"),data!$F$10,IF(AND($W$61&gt;=3,$R152="A1"),data!$G$10,IF(AND($W$61&gt;=3,$R152="A2"),data!$H$10,IF(AND($W$61&gt;=3,$R152="SS"),data!$I$10,"")))))))</f>
        <v/>
      </c>
      <c r="X152" s="48"/>
    </row>
    <row r="153" spans="1:24" ht="12" customHeight="1" x14ac:dyDescent="0.2">
      <c r="A153" s="161" t="s">
        <v>134</v>
      </c>
      <c r="B153" s="162"/>
      <c r="C153" s="163"/>
      <c r="D153" s="164" t="str">
        <f>IF(AND($W$61=3,NOT(ISBLANK($D$25))),$D$25,"")</f>
        <v/>
      </c>
      <c r="E153" s="165"/>
      <c r="F153" s="165"/>
      <c r="G153" s="165"/>
      <c r="H153" s="165"/>
      <c r="I153" s="165"/>
      <c r="J153" s="165"/>
      <c r="K153" s="165"/>
      <c r="L153" s="166"/>
      <c r="M153" s="28" t="str">
        <f>IF(OR(ISTEXT(O153),ISTEXT(P153)),MAX(M$19:M152)+1,"")</f>
        <v/>
      </c>
      <c r="N153" s="20"/>
      <c r="O153" s="21"/>
      <c r="P153" s="22"/>
      <c r="Q153" s="16"/>
      <c r="R153" s="20"/>
      <c r="S153" s="20"/>
      <c r="T153" s="20"/>
      <c r="U153" s="20"/>
      <c r="V153" s="20"/>
      <c r="W153" s="35" t="str">
        <f>IF(COUNTBLANK(O153:P153)&gt;0,"",IF(AND($W$61&gt;=3,$R153="IF"),data!$D$10,IF(AND($W$61&gt;=3,$R153="I"),data!$E$10,IF(AND($W$61&gt;=3,$R153="AF"),data!$F$10,IF(AND($W$61&gt;=3,$R153="A1"),data!$G$10,IF(AND($W$61&gt;=3,$R153="A2"),data!$H$10,IF(AND($W$61&gt;=3,$R153="SS"),data!$I$10,"")))))))</f>
        <v/>
      </c>
      <c r="X153" s="48"/>
    </row>
    <row r="154" spans="1:24" ht="12.75" customHeight="1" thickBot="1" x14ac:dyDescent="0.25">
      <c r="A154" s="207" t="s">
        <v>155</v>
      </c>
      <c r="B154" s="208"/>
      <c r="C154" s="208"/>
      <c r="D154" s="209"/>
      <c r="E154" s="213" t="str">
        <f>IF(AND($W$61=3,NOT(ISBLANK($E$26))),$E$26,"")</f>
        <v/>
      </c>
      <c r="F154" s="214"/>
      <c r="G154" s="214"/>
      <c r="H154" s="214"/>
      <c r="I154" s="214"/>
      <c r="J154" s="214"/>
      <c r="K154" s="214"/>
      <c r="L154" s="215"/>
      <c r="M154" s="28" t="str">
        <f>IF(OR(ISTEXT(O154),ISTEXT(P154)),MAX(M$19:M153)+1,"")</f>
        <v/>
      </c>
      <c r="N154" s="20"/>
      <c r="O154" s="21"/>
      <c r="P154" s="22"/>
      <c r="Q154" s="16"/>
      <c r="R154" s="20"/>
      <c r="S154" s="20"/>
      <c r="T154" s="20"/>
      <c r="U154" s="20"/>
      <c r="V154" s="20"/>
      <c r="W154" s="35" t="str">
        <f>IF(COUNTBLANK(O154:P154)&gt;0,"",IF(AND($W$61&gt;=3,$R154="IF"),data!$D$10,IF(AND($W$61&gt;=3,$R154="I"),data!$E$10,IF(AND($W$61&gt;=3,$R154="AF"),data!$F$10,IF(AND($W$61&gt;=3,$R154="A1"),data!$G$10,IF(AND($W$61&gt;=3,$R154="A2"),data!$H$10,IF(AND($W$61&gt;=3,$R154="SS"),data!$I$10,"")))))))</f>
        <v/>
      </c>
      <c r="X154" s="48"/>
    </row>
    <row r="155" spans="1:24" ht="11.1" customHeight="1" x14ac:dyDescent="0.2">
      <c r="A155" s="216" t="s">
        <v>165</v>
      </c>
      <c r="B155" s="217"/>
      <c r="C155" s="217"/>
      <c r="D155" s="217"/>
      <c r="E155" s="217"/>
      <c r="F155" s="217"/>
      <c r="G155" s="217"/>
      <c r="H155" s="217"/>
      <c r="I155" s="217"/>
      <c r="J155" s="217"/>
      <c r="K155" s="217"/>
      <c r="L155" s="218"/>
      <c r="M155" s="28" t="str">
        <f>IF(OR(ISTEXT(O155),ISTEXT(P155)),MAX(M$19:M154)+1,"")</f>
        <v/>
      </c>
      <c r="N155" s="20"/>
      <c r="O155" s="21"/>
      <c r="P155" s="22"/>
      <c r="Q155" s="16"/>
      <c r="R155" s="20"/>
      <c r="S155" s="20"/>
      <c r="T155" s="20"/>
      <c r="U155" s="20"/>
      <c r="V155" s="20"/>
      <c r="W155" s="35" t="str">
        <f>IF(COUNTBLANK(O155:P155)&gt;0,"",IF(AND($W$61&gt;=3,$R155="IF"),data!$D$10,IF(AND($W$61&gt;=3,$R155="I"),data!$E$10,IF(AND($W$61&gt;=3,$R155="AF"),data!$F$10,IF(AND($W$61&gt;=3,$R155="A1"),data!$G$10,IF(AND($W$61&gt;=3,$R155="A2"),data!$H$10,IF(AND($W$61&gt;=3,$R155="SS"),data!$I$10,"")))))))</f>
        <v/>
      </c>
      <c r="X155" s="48"/>
    </row>
    <row r="156" spans="1:24" ht="12" customHeight="1" thickBot="1" x14ac:dyDescent="0.25">
      <c r="A156" s="219"/>
      <c r="B156" s="220"/>
      <c r="C156" s="220"/>
      <c r="D156" s="220"/>
      <c r="E156" s="220"/>
      <c r="F156" s="220"/>
      <c r="G156" s="220"/>
      <c r="H156" s="220"/>
      <c r="I156" s="220"/>
      <c r="J156" s="220"/>
      <c r="K156" s="220"/>
      <c r="L156" s="221"/>
      <c r="M156" s="28" t="str">
        <f>IF(OR(ISTEXT(O156),ISTEXT(P156)),MAX(M$19:M155)+1,"")</f>
        <v/>
      </c>
      <c r="N156" s="23"/>
      <c r="O156" s="24"/>
      <c r="P156" s="25"/>
      <c r="Q156" s="17"/>
      <c r="R156" s="23"/>
      <c r="S156" s="23"/>
      <c r="T156" s="23"/>
      <c r="U156" s="23"/>
      <c r="V156" s="23"/>
      <c r="W156" s="35" t="str">
        <f>IF(COUNTBLANK(O156:P156)&gt;0,"",IF(AND($W$61&gt;=3,$R156="IF"),data!$D$10,IF(AND($W$61&gt;=3,$R156="I"),data!$E$10,IF(AND($W$61&gt;=3,$R156="AF"),data!$F$10,IF(AND($W$61&gt;=3,$R156="A1"),data!$G$10,IF(AND($W$61&gt;=3,$R156="A2"),data!$H$10,IF(AND($W$61&gt;=3,$R156="SS"),data!$I$10,"")))))))</f>
        <v/>
      </c>
      <c r="X156" s="49"/>
    </row>
    <row r="157" spans="1:24" ht="9.75" customHeight="1" x14ac:dyDescent="0.2">
      <c r="A157" s="232" t="s">
        <v>293</v>
      </c>
      <c r="B157" s="233"/>
      <c r="C157" s="233"/>
      <c r="D157" s="233"/>
      <c r="E157" s="233"/>
      <c r="F157" s="233"/>
      <c r="G157" s="233"/>
      <c r="H157" s="233"/>
      <c r="I157" s="233"/>
      <c r="J157" s="233"/>
      <c r="K157" s="233"/>
      <c r="L157" s="234"/>
      <c r="M157" s="134"/>
      <c r="N157" s="143" t="s">
        <v>99</v>
      </c>
      <c r="O157" s="144"/>
      <c r="P157" s="145"/>
      <c r="Q157" s="151" t="str">
        <f>IF($W$61=3,COUNTA(P147:P156),"")</f>
        <v/>
      </c>
      <c r="R157" s="176" t="str">
        <f>data!$C$57</f>
        <v>Sub-total of fees in C$</v>
      </c>
      <c r="S157" s="177"/>
      <c r="T157" s="177"/>
      <c r="U157" s="177"/>
      <c r="V157" s="178"/>
      <c r="W157" s="184" t="str">
        <f>IF($W$61=3,SUM(W147:W156),"")</f>
        <v/>
      </c>
      <c r="X157" s="173"/>
    </row>
    <row r="158" spans="1:24" ht="12.75" customHeight="1" thickBot="1" x14ac:dyDescent="0.25">
      <c r="A158" s="235"/>
      <c r="B158" s="236"/>
      <c r="C158" s="236"/>
      <c r="D158" s="236"/>
      <c r="E158" s="236"/>
      <c r="F158" s="236"/>
      <c r="G158" s="236"/>
      <c r="H158" s="236"/>
      <c r="I158" s="236"/>
      <c r="J158" s="236"/>
      <c r="K158" s="236"/>
      <c r="L158" s="237"/>
      <c r="M158" s="135"/>
      <c r="N158" s="146"/>
      <c r="O158" s="147"/>
      <c r="P158" s="148"/>
      <c r="Q158" s="152"/>
      <c r="R158" s="179"/>
      <c r="S158" s="180"/>
      <c r="T158" s="180"/>
      <c r="U158" s="180"/>
      <c r="V158" s="181"/>
      <c r="W158" s="185"/>
      <c r="X158" s="175"/>
    </row>
    <row r="159" spans="1:24" ht="12" customHeight="1" thickBot="1" x14ac:dyDescent="0.25">
      <c r="A159" s="201" t="s">
        <v>65</v>
      </c>
      <c r="B159" s="202"/>
      <c r="C159" s="202"/>
      <c r="D159" s="202"/>
      <c r="E159" s="203"/>
      <c r="F159" s="204" t="str">
        <f>IF(AND($W$61=3,NOT(ISBLANK($F$31))),$F$31,"")</f>
        <v/>
      </c>
      <c r="G159" s="205"/>
      <c r="H159" s="205"/>
      <c r="I159" s="205"/>
      <c r="J159" s="205"/>
      <c r="K159" s="205"/>
      <c r="L159" s="206"/>
      <c r="M159" s="135"/>
      <c r="N159" s="137" t="s">
        <v>60</v>
      </c>
      <c r="O159" s="138"/>
      <c r="P159" s="139"/>
      <c r="Q159" s="138"/>
      <c r="R159" s="138"/>
      <c r="S159" s="138"/>
      <c r="T159" s="138"/>
      <c r="U159" s="138"/>
      <c r="V159" s="138"/>
      <c r="W159" s="138"/>
      <c r="X159" s="140"/>
    </row>
    <row r="160" spans="1:24" ht="12.75" customHeight="1" thickBot="1" x14ac:dyDescent="0.25">
      <c r="A160" s="207" t="s">
        <v>66</v>
      </c>
      <c r="B160" s="208"/>
      <c r="C160" s="208"/>
      <c r="D160" s="208"/>
      <c r="E160" s="209"/>
      <c r="F160" s="210" t="s">
        <v>226</v>
      </c>
      <c r="G160" s="211"/>
      <c r="H160" s="211"/>
      <c r="I160" s="211"/>
      <c r="J160" s="211"/>
      <c r="K160" s="211"/>
      <c r="L160" s="212"/>
      <c r="M160" s="135"/>
      <c r="N160" s="158" t="s">
        <v>240</v>
      </c>
      <c r="O160" s="149" t="s">
        <v>241</v>
      </c>
      <c r="P160" s="149" t="s">
        <v>171</v>
      </c>
      <c r="Q160" s="141" t="s">
        <v>214</v>
      </c>
      <c r="R160" s="149" t="s">
        <v>221</v>
      </c>
      <c r="S160" s="187" t="s">
        <v>264</v>
      </c>
      <c r="T160" s="188"/>
      <c r="U160" s="188"/>
      <c r="V160" s="189"/>
      <c r="W160" s="149" t="s">
        <v>242</v>
      </c>
      <c r="X160" s="182" t="s">
        <v>180</v>
      </c>
    </row>
    <row r="161" spans="1:24" ht="12" customHeight="1" thickBot="1" x14ac:dyDescent="0.25">
      <c r="A161" s="216" t="s">
        <v>318</v>
      </c>
      <c r="B161" s="217"/>
      <c r="C161" s="217"/>
      <c r="D161" s="217"/>
      <c r="E161" s="217"/>
      <c r="F161" s="217"/>
      <c r="G161" s="217"/>
      <c r="H161" s="217"/>
      <c r="I161" s="217"/>
      <c r="J161" s="217"/>
      <c r="K161" s="217"/>
      <c r="L161" s="218"/>
      <c r="M161" s="136"/>
      <c r="N161" s="159"/>
      <c r="O161" s="150"/>
      <c r="P161" s="150"/>
      <c r="Q161" s="142"/>
      <c r="R161" s="150"/>
      <c r="S161" s="40">
        <v>1</v>
      </c>
      <c r="T161" s="40">
        <v>2</v>
      </c>
      <c r="U161" s="40">
        <v>3</v>
      </c>
      <c r="V161" s="40">
        <v>4</v>
      </c>
      <c r="W161" s="150"/>
      <c r="X161" s="183"/>
    </row>
    <row r="162" spans="1:24" ht="12" customHeight="1" x14ac:dyDescent="0.2">
      <c r="A162" s="219"/>
      <c r="B162" s="220"/>
      <c r="C162" s="220"/>
      <c r="D162" s="220"/>
      <c r="E162" s="220"/>
      <c r="F162" s="220"/>
      <c r="G162" s="220"/>
      <c r="H162" s="220"/>
      <c r="I162" s="220"/>
      <c r="J162" s="220"/>
      <c r="K162" s="220"/>
      <c r="L162" s="221"/>
      <c r="M162" s="28" t="str">
        <f>IF(OR(ISTEXT(O162),ISTEXT(P162)),MAX(M$19:M161)+1,"")</f>
        <v/>
      </c>
      <c r="N162" s="20"/>
      <c r="O162" s="21"/>
      <c r="P162" s="22"/>
      <c r="Q162" s="16"/>
      <c r="R162" s="26"/>
      <c r="S162" s="20"/>
      <c r="T162" s="20"/>
      <c r="U162" s="20"/>
      <c r="V162" s="20"/>
      <c r="W162" s="35" t="str">
        <f>IF(COUNTBLANK(O162:P162)&gt;0,"",IF(AND($W$61&gt;=3,$R162="IF"),data!$D$28,IF(AND($W$61&gt;=3,$R162="I"),data!$E$28,IF(AND($W$61&gt;=3,$R162="AF"),data!$F$28,IF(AND($W$61&gt;=3,$R162="A1"),data!$G$28,IF(AND($W$61&gt;=3,$R162="A2"),data!$H$28,IF(AND($W$61&gt;=3,$R162="SS"),data!$I$28,"")))))))</f>
        <v/>
      </c>
      <c r="X162" s="48"/>
    </row>
    <row r="163" spans="1:24" ht="12" customHeight="1" x14ac:dyDescent="0.2">
      <c r="A163" s="222"/>
      <c r="B163" s="223"/>
      <c r="C163" s="224" t="s">
        <v>42</v>
      </c>
      <c r="D163" s="225"/>
      <c r="E163" s="226"/>
      <c r="F163" s="227" t="s">
        <v>43</v>
      </c>
      <c r="G163" s="228"/>
      <c r="H163" s="229"/>
      <c r="I163" s="227" t="s">
        <v>124</v>
      </c>
      <c r="J163" s="228"/>
      <c r="K163" s="228"/>
      <c r="L163" s="230"/>
      <c r="M163" s="28" t="str">
        <f>IF(OR(ISTEXT(O163),ISTEXT(P163)),MAX(M$19:M162)+1,"")</f>
        <v/>
      </c>
      <c r="N163" s="20"/>
      <c r="O163" s="21"/>
      <c r="P163" s="22"/>
      <c r="Q163" s="16"/>
      <c r="R163" s="26"/>
      <c r="S163" s="20"/>
      <c r="T163" s="20"/>
      <c r="U163" s="20"/>
      <c r="V163" s="20"/>
      <c r="W163" s="35" t="str">
        <f>IF(COUNTBLANK(O163:P163)&gt;0,"",IF(AND($W$61&gt;=3,$R163="IF"),data!$D$28,IF(AND($W$61&gt;=3,$R163="I"),data!$E$28,IF(AND($W$61&gt;=3,$R163="AF"),data!$F$28,IF(AND($W$61&gt;=3,$R163="A1"),data!$G$28,IF(AND($W$61&gt;=3,$R163="A2"),data!$H$28,IF(AND($W$61&gt;=3,$R163="SS"),data!$I$28,"")))))))</f>
        <v/>
      </c>
      <c r="X163" s="48"/>
    </row>
    <row r="164" spans="1:24" ht="12" customHeight="1" x14ac:dyDescent="0.2">
      <c r="A164" s="222" t="s">
        <v>236</v>
      </c>
      <c r="B164" s="223"/>
      <c r="C164" s="204" t="str">
        <f>IF(AND($W$61=3,NOT(ISBLANK($C$36))),$C$36,"")</f>
        <v/>
      </c>
      <c r="D164" s="205"/>
      <c r="E164" s="231"/>
      <c r="F164" s="164" t="str">
        <f>IF(AND($W$61=3,NOT(ISBLANK($F$36))),$F$36,"")</f>
        <v/>
      </c>
      <c r="G164" s="165"/>
      <c r="H164" s="238"/>
      <c r="I164" s="164" t="str">
        <f>IF(AND($W$61=3,NOT(ISBLANK($I$36))),$I$36,"")</f>
        <v/>
      </c>
      <c r="J164" s="165"/>
      <c r="K164" s="165"/>
      <c r="L164" s="166"/>
      <c r="M164" s="28" t="str">
        <f>IF(OR(ISTEXT(O164),ISTEXT(P164)),MAX(M$19:M163)+1,"")</f>
        <v/>
      </c>
      <c r="N164" s="20"/>
      <c r="O164" s="21"/>
      <c r="P164" s="22"/>
      <c r="Q164" s="16"/>
      <c r="R164" s="26"/>
      <c r="S164" s="20"/>
      <c r="T164" s="20"/>
      <c r="U164" s="20"/>
      <c r="V164" s="20"/>
      <c r="W164" s="35" t="str">
        <f>IF(COUNTBLANK(O164:P164)&gt;0,"",IF(AND($W$61&gt;=3,$R164="IF"),data!$D$28,IF(AND($W$61&gt;=3,$R164="I"),data!$E$28,IF(AND($W$61&gt;=3,$R164="AF"),data!$F$28,IF(AND($W$61&gt;=3,$R164="A1"),data!$G$28,IF(AND($W$61&gt;=3,$R164="A2"),data!$H$28,IF(AND($W$61&gt;=3,$R164="SS"),data!$I$28,"")))))))</f>
        <v/>
      </c>
      <c r="X164" s="48"/>
    </row>
    <row r="165" spans="1:24" ht="12" customHeight="1" x14ac:dyDescent="0.2">
      <c r="A165" s="222" t="s">
        <v>237</v>
      </c>
      <c r="B165" s="223"/>
      <c r="C165" s="204" t="str">
        <f>IF(AND($W$61=3,NOT(ISBLANK($C$37))),$C$37,"")</f>
        <v/>
      </c>
      <c r="D165" s="205"/>
      <c r="E165" s="231"/>
      <c r="F165" s="164" t="str">
        <f>IF(AND($W$61=3,NOT(ISBLANK($F$37))),$F$37,"")</f>
        <v/>
      </c>
      <c r="G165" s="165"/>
      <c r="H165" s="238"/>
      <c r="I165" s="164" t="str">
        <f>IF(AND($W$61=3,NOT(ISBLANK($I$37))),$I$37,"")</f>
        <v/>
      </c>
      <c r="J165" s="165"/>
      <c r="K165" s="165"/>
      <c r="L165" s="166"/>
      <c r="M165" s="28" t="str">
        <f>IF(OR(ISTEXT(O165),ISTEXT(P165)),MAX(M$19:M164)+1,"")</f>
        <v/>
      </c>
      <c r="N165" s="20"/>
      <c r="O165" s="21"/>
      <c r="P165" s="22"/>
      <c r="Q165" s="16"/>
      <c r="R165" s="26"/>
      <c r="S165" s="20"/>
      <c r="T165" s="20"/>
      <c r="U165" s="20"/>
      <c r="V165" s="20"/>
      <c r="W165" s="35" t="str">
        <f>IF(COUNTBLANK(O165:P165)&gt;0,"",IF(AND($W$61&gt;=3,$R165="IF"),data!$D$28,IF(AND($W$61&gt;=3,$R165="I"),data!$E$28,IF(AND($W$61&gt;=3,$R165="AF"),data!$F$28,IF(AND($W$61&gt;=3,$R165="A1"),data!$G$28,IF(AND($W$61&gt;=3,$R165="A2"),data!$H$28,IF(AND($W$61&gt;=3,$R165="SS"),data!$I$28,"")))))))</f>
        <v/>
      </c>
      <c r="X165" s="48"/>
    </row>
    <row r="166" spans="1:24" ht="12" customHeight="1" x14ac:dyDescent="0.2">
      <c r="A166" s="222" t="s">
        <v>238</v>
      </c>
      <c r="B166" s="223"/>
      <c r="C166" s="204" t="str">
        <f>IF(AND($W$61=3,NOT(ISBLANK($C$38))),$C$38,"")</f>
        <v/>
      </c>
      <c r="D166" s="205"/>
      <c r="E166" s="231"/>
      <c r="F166" s="164" t="str">
        <f>IF(AND($W$61=3,NOT(ISBLANK($F$38))),$F$38,"")</f>
        <v/>
      </c>
      <c r="G166" s="165"/>
      <c r="H166" s="238"/>
      <c r="I166" s="164" t="str">
        <f>IF(AND($W$61=3,NOT(ISBLANK($I$38))),$I$38,"")</f>
        <v/>
      </c>
      <c r="J166" s="165"/>
      <c r="K166" s="165"/>
      <c r="L166" s="166"/>
      <c r="M166" s="28" t="str">
        <f>IF(OR(ISTEXT(O166),ISTEXT(P166)),MAX(M$19:M165)+1,"")</f>
        <v/>
      </c>
      <c r="N166" s="20"/>
      <c r="O166" s="21"/>
      <c r="P166" s="22"/>
      <c r="Q166" s="16"/>
      <c r="R166" s="26"/>
      <c r="S166" s="20"/>
      <c r="T166" s="20"/>
      <c r="U166" s="20"/>
      <c r="V166" s="20"/>
      <c r="W166" s="35" t="str">
        <f>IF(COUNTBLANK(O166:P166)&gt;0,"",IF(AND($W$61&gt;=3,$R166="IF"),data!$D$28,IF(AND($W$61&gt;=3,$R166="I"),data!$E$28,IF(AND($W$61&gt;=3,$R166="AF"),data!$F$28,IF(AND($W$61&gt;=3,$R166="A1"),data!$G$28,IF(AND($W$61&gt;=3,$R166="A2"),data!$H$28,IF(AND($W$61&gt;=3,$R166="SS"),data!$I$28,"")))))))</f>
        <v/>
      </c>
      <c r="X166" s="48"/>
    </row>
    <row r="167" spans="1:24" ht="12" customHeight="1" x14ac:dyDescent="0.2">
      <c r="A167" s="222" t="s">
        <v>239</v>
      </c>
      <c r="B167" s="223"/>
      <c r="C167" s="204" t="str">
        <f>IF(AND($W$61=3,NOT(ISBLANK($C$39))),$C$39,"")</f>
        <v/>
      </c>
      <c r="D167" s="205"/>
      <c r="E167" s="231"/>
      <c r="F167" s="164" t="str">
        <f>IF(AND($W$61=3,NOT(ISBLANK($F$39))),$F$39,"")</f>
        <v/>
      </c>
      <c r="G167" s="165"/>
      <c r="H167" s="238"/>
      <c r="I167" s="164" t="str">
        <f>IF(AND($W$61=3,NOT(ISBLANK($I$39))),$I$39,"")</f>
        <v/>
      </c>
      <c r="J167" s="165"/>
      <c r="K167" s="165"/>
      <c r="L167" s="166"/>
      <c r="M167" s="28" t="str">
        <f>IF(OR(ISTEXT(O167),ISTEXT(P167)),MAX(M$19:M166)+1,"")</f>
        <v/>
      </c>
      <c r="N167" s="20"/>
      <c r="O167" s="21"/>
      <c r="P167" s="22"/>
      <c r="Q167" s="16"/>
      <c r="R167" s="26"/>
      <c r="S167" s="20"/>
      <c r="T167" s="20"/>
      <c r="U167" s="20"/>
      <c r="V167" s="20"/>
      <c r="W167" s="35" t="str">
        <f>IF(COUNTBLANK(O167:P167)&gt;0,"",IF(AND($W$61&gt;=3,$R167="IF"),data!$D$28,IF(AND($W$61&gt;=3,$R167="I"),data!$E$28,IF(AND($W$61&gt;=3,$R167="AF"),data!$F$28,IF(AND($W$61&gt;=3,$R167="A1"),data!$G$28,IF(AND($W$61&gt;=3,$R167="A2"),data!$H$28,IF(AND($W$61&gt;=3,$R167="SS"),data!$I$28,"")))))))</f>
        <v/>
      </c>
      <c r="X167" s="48"/>
    </row>
    <row r="168" spans="1:24" ht="12" customHeight="1" x14ac:dyDescent="0.2">
      <c r="A168" s="37"/>
      <c r="B168" s="38"/>
      <c r="C168" s="38"/>
      <c r="D168" s="38"/>
      <c r="E168" s="38"/>
      <c r="F168" s="38"/>
      <c r="G168" s="38"/>
      <c r="H168" s="38"/>
      <c r="I168" s="38"/>
      <c r="J168" s="38"/>
      <c r="K168" s="38"/>
      <c r="L168" s="39"/>
      <c r="M168" s="28" t="str">
        <f>IF(OR(ISTEXT(O168),ISTEXT(P168)),MAX(M$19:M167)+1,"")</f>
        <v/>
      </c>
      <c r="N168" s="20"/>
      <c r="O168" s="21"/>
      <c r="P168" s="22"/>
      <c r="Q168" s="16"/>
      <c r="R168" s="26"/>
      <c r="S168" s="20"/>
      <c r="T168" s="20"/>
      <c r="U168" s="20"/>
      <c r="V168" s="20"/>
      <c r="W168" s="35" t="str">
        <f>IF(COUNTBLANK(O168:P168)&gt;0,"",IF(AND($W$61&gt;=3,$R168="IF"),data!$D$28,IF(AND($W$61&gt;=3,$R168="I"),data!$E$28,IF(AND($W$61&gt;=3,$R168="AF"),data!$F$28,IF(AND($W$61&gt;=3,$R168="A1"),data!$G$28,IF(AND($W$61&gt;=3,$R168="A2"),data!$H$28,IF(AND($W$61&gt;=3,$R168="SS"),data!$I$28,"")))))))</f>
        <v/>
      </c>
      <c r="X168" s="48"/>
    </row>
    <row r="169" spans="1:24" ht="12" customHeight="1" x14ac:dyDescent="0.2">
      <c r="A169" s="37"/>
      <c r="B169" s="38"/>
      <c r="C169" s="38"/>
      <c r="D169" s="38"/>
      <c r="E169" s="38"/>
      <c r="F169" s="38"/>
      <c r="G169" s="38"/>
      <c r="H169" s="38"/>
      <c r="I169" s="38"/>
      <c r="J169" s="38"/>
      <c r="K169" s="38"/>
      <c r="L169" s="39"/>
      <c r="M169" s="28" t="str">
        <f>IF(OR(ISTEXT(O169),ISTEXT(P169)),MAX(M$19:M168)+1,"")</f>
        <v/>
      </c>
      <c r="N169" s="20"/>
      <c r="O169" s="21"/>
      <c r="P169" s="22"/>
      <c r="Q169" s="16"/>
      <c r="R169" s="26"/>
      <c r="S169" s="20"/>
      <c r="T169" s="20"/>
      <c r="U169" s="20"/>
      <c r="V169" s="20"/>
      <c r="W169" s="35" t="str">
        <f>IF(COUNTBLANK(O169:P169)&gt;0,"",IF(AND($W$61&gt;=3,$R169="IF"),data!$D$28,IF(AND($W$61&gt;=3,$R169="I"),data!$E$28,IF(AND($W$61&gt;=3,$R169="AF"),data!$F$28,IF(AND($W$61&gt;=3,$R169="A1"),data!$G$28,IF(AND($W$61&gt;=3,$R169="A2"),data!$H$28,IF(AND($W$61&gt;=3,$R169="SS"),data!$I$28,"")))))))</f>
        <v/>
      </c>
      <c r="X169" s="48"/>
    </row>
    <row r="170" spans="1:24" ht="12" customHeight="1" x14ac:dyDescent="0.2">
      <c r="A170" s="37"/>
      <c r="B170" s="38"/>
      <c r="C170" s="38"/>
      <c r="D170" s="38"/>
      <c r="E170" s="38"/>
      <c r="F170" s="38"/>
      <c r="G170" s="38"/>
      <c r="H170" s="38"/>
      <c r="I170" s="38"/>
      <c r="J170" s="38"/>
      <c r="K170" s="38"/>
      <c r="L170" s="39"/>
      <c r="M170" s="28" t="str">
        <f>IF(OR(ISTEXT(O170),ISTEXT(P170)),MAX(M$19:M169)+1,"")</f>
        <v/>
      </c>
      <c r="N170" s="20"/>
      <c r="O170" s="21"/>
      <c r="P170" s="22"/>
      <c r="Q170" s="16"/>
      <c r="R170" s="26"/>
      <c r="S170" s="20"/>
      <c r="T170" s="20"/>
      <c r="U170" s="20"/>
      <c r="V170" s="20"/>
      <c r="W170" s="35" t="str">
        <f>IF(COUNTBLANK(O170:P170)&gt;0,"",IF(AND($W$61&gt;=3,$R170="IF"),data!$D$28,IF(AND($W$61&gt;=3,$R170="I"),data!$E$28,IF(AND($W$61&gt;=3,$R170="AF"),data!$F$28,IF(AND($W$61&gt;=3,$R170="A1"),data!$G$28,IF(AND($W$61&gt;=3,$R170="A2"),data!$H$28,IF(AND($W$61&gt;=3,$R170="SS"),data!$I$28,"")))))))</f>
        <v/>
      </c>
      <c r="X170" s="48"/>
    </row>
    <row r="171" spans="1:24" ht="12" customHeight="1" x14ac:dyDescent="0.2">
      <c r="A171" s="37"/>
      <c r="B171" s="38"/>
      <c r="C171" s="38"/>
      <c r="D171" s="38"/>
      <c r="E171" s="38"/>
      <c r="F171" s="38"/>
      <c r="G171" s="38"/>
      <c r="H171" s="38"/>
      <c r="I171" s="38"/>
      <c r="J171" s="38"/>
      <c r="K171" s="38"/>
      <c r="L171" s="39"/>
      <c r="M171" s="28" t="str">
        <f>IF(OR(ISTEXT(O171),ISTEXT(P171)),MAX(M$19:M170)+1,"")</f>
        <v/>
      </c>
      <c r="N171" s="20"/>
      <c r="O171" s="21"/>
      <c r="P171" s="22"/>
      <c r="Q171" s="16"/>
      <c r="R171" s="26"/>
      <c r="S171" s="20"/>
      <c r="T171" s="20"/>
      <c r="U171" s="20"/>
      <c r="V171" s="20"/>
      <c r="W171" s="35" t="str">
        <f>IF(COUNTBLANK(O171:P171)&gt;0,"",IF(AND($W$61&gt;=3,$R171="IF"),data!$D$28,IF(AND($W$61&gt;=3,$R171="I"),data!$E$28,IF(AND($W$61&gt;=3,$R171="AF"),data!$F$28,IF(AND($W$61&gt;=3,$R171="A1"),data!$G$28,IF(AND($W$61&gt;=3,$R171="A2"),data!$H$28,IF(AND($W$61&gt;=3,$R171="SS"),data!$I$28,"")))))))</f>
        <v/>
      </c>
      <c r="X171" s="48"/>
    </row>
    <row r="172" spans="1:24" ht="12" customHeight="1" x14ac:dyDescent="0.2">
      <c r="A172" s="37"/>
      <c r="B172" s="38"/>
      <c r="C172" s="38"/>
      <c r="D172" s="38"/>
      <c r="E172" s="38"/>
      <c r="F172" s="38"/>
      <c r="G172" s="38"/>
      <c r="H172" s="38"/>
      <c r="I172" s="38"/>
      <c r="J172" s="38"/>
      <c r="K172" s="38"/>
      <c r="L172" s="39"/>
      <c r="M172" s="28" t="str">
        <f>IF(OR(ISTEXT(O172),ISTEXT(P172)),MAX(M$19:M171)+1,"")</f>
        <v/>
      </c>
      <c r="N172" s="20"/>
      <c r="O172" s="21"/>
      <c r="P172" s="22"/>
      <c r="Q172" s="16"/>
      <c r="R172" s="26"/>
      <c r="S172" s="20"/>
      <c r="T172" s="20"/>
      <c r="U172" s="20"/>
      <c r="V172" s="20"/>
      <c r="W172" s="35" t="str">
        <f>IF(COUNTBLANK(O172:P172)&gt;0,"",IF(AND($W$61&gt;=3,$R172="IF"),data!$D$28,IF(AND($W$61&gt;=3,$R172="I"),data!$E$28,IF(AND($W$61&gt;=3,$R172="AF"),data!$F$28,IF(AND($W$61&gt;=3,$R172="A1"),data!$G$28,IF(AND($W$61&gt;=3,$R172="A2"),data!$H$28,IF(AND($W$61&gt;=3,$R172="SS"),data!$I$28,"")))))))</f>
        <v/>
      </c>
      <c r="X172" s="48"/>
    </row>
    <row r="173" spans="1:24" ht="12" customHeight="1" x14ac:dyDescent="0.2">
      <c r="A173" s="37"/>
      <c r="B173" s="38"/>
      <c r="C173" s="38"/>
      <c r="D173" s="38"/>
      <c r="E173" s="38"/>
      <c r="F173" s="38"/>
      <c r="G173" s="38"/>
      <c r="H173" s="38"/>
      <c r="I173" s="38"/>
      <c r="J173" s="38"/>
      <c r="K173" s="38"/>
      <c r="L173" s="39"/>
      <c r="M173" s="28" t="str">
        <f>IF(OR(ISTEXT(O173),ISTEXT(P173)),MAX(M$19:M172)+1,"")</f>
        <v/>
      </c>
      <c r="N173" s="20"/>
      <c r="O173" s="21"/>
      <c r="P173" s="22"/>
      <c r="Q173" s="16"/>
      <c r="R173" s="26"/>
      <c r="S173" s="20"/>
      <c r="T173" s="20"/>
      <c r="U173" s="20"/>
      <c r="V173" s="20"/>
      <c r="W173" s="35" t="str">
        <f>IF(COUNTBLANK(O173:P173)&gt;0,"",IF(AND($W$61&gt;=3,$R173="IF"),data!$D$28,IF(AND($W$61&gt;=3,$R173="I"),data!$E$28,IF(AND($W$61&gt;=3,$R173="AF"),data!$F$28,IF(AND($W$61&gt;=3,$R173="A1"),data!$G$28,IF(AND($W$61&gt;=3,$R173="A2"),data!$H$28,IF(AND($W$61&gt;=3,$R173="SS"),data!$I$28,"")))))))</f>
        <v/>
      </c>
      <c r="X173" s="48"/>
    </row>
    <row r="174" spans="1:24" ht="12" customHeight="1" x14ac:dyDescent="0.2">
      <c r="A174" s="37"/>
      <c r="B174" s="38"/>
      <c r="C174" s="38"/>
      <c r="D174" s="38"/>
      <c r="E174" s="38"/>
      <c r="F174" s="38"/>
      <c r="G174" s="38"/>
      <c r="H174" s="38"/>
      <c r="I174" s="38"/>
      <c r="J174" s="38"/>
      <c r="K174" s="38"/>
      <c r="L174" s="39"/>
      <c r="M174" s="28" t="str">
        <f>IF(OR(ISTEXT(O174),ISTEXT(P174)),MAX(M$19:M173)+1,"")</f>
        <v/>
      </c>
      <c r="N174" s="20"/>
      <c r="O174" s="21"/>
      <c r="P174" s="22"/>
      <c r="Q174" s="16"/>
      <c r="R174" s="26"/>
      <c r="S174" s="20"/>
      <c r="T174" s="20"/>
      <c r="U174" s="20"/>
      <c r="V174" s="20"/>
      <c r="W174" s="35" t="str">
        <f>IF(COUNTBLANK(O174:P174)&gt;0,"",IF(AND($W$61&gt;=3,$R174="IF"),data!$D$28,IF(AND($W$61&gt;=3,$R174="I"),data!$E$28,IF(AND($W$61&gt;=3,$R174="AF"),data!$F$28,IF(AND($W$61&gt;=3,$R174="A1"),data!$G$28,IF(AND($W$61&gt;=3,$R174="A2"),data!$H$28,IF(AND($W$61&gt;=3,$R174="SS"),data!$I$28,"")))))))</f>
        <v/>
      </c>
      <c r="X174" s="48"/>
    </row>
    <row r="175" spans="1:24" ht="12" customHeight="1" x14ac:dyDescent="0.2">
      <c r="A175" s="37"/>
      <c r="B175" s="38"/>
      <c r="C175" s="38"/>
      <c r="D175" s="38"/>
      <c r="E175" s="38"/>
      <c r="F175" s="38"/>
      <c r="G175" s="38"/>
      <c r="H175" s="38"/>
      <c r="I175" s="38"/>
      <c r="J175" s="38"/>
      <c r="K175" s="38"/>
      <c r="L175" s="39"/>
      <c r="M175" s="28" t="str">
        <f>IF(OR(ISTEXT(O175),ISTEXT(P175)),MAX(M$19:M174)+1,"")</f>
        <v/>
      </c>
      <c r="N175" s="20"/>
      <c r="O175" s="21"/>
      <c r="P175" s="22"/>
      <c r="Q175" s="16"/>
      <c r="R175" s="26"/>
      <c r="S175" s="20"/>
      <c r="T175" s="20"/>
      <c r="U175" s="20"/>
      <c r="V175" s="20"/>
      <c r="W175" s="35" t="str">
        <f>IF(COUNTBLANK(O175:P175)&gt;0,"",IF(AND($W$61&gt;=3,$R175="IF"),data!$D$28,IF(AND($W$61&gt;=3,$R175="I"),data!$E$28,IF(AND($W$61&gt;=3,$R175="AF"),data!$F$28,IF(AND($W$61&gt;=3,$R175="A1"),data!$G$28,IF(AND($W$61&gt;=3,$R175="A2"),data!$H$28,IF(AND($W$61&gt;=3,$R175="SS"),data!$I$28,"")))))))</f>
        <v/>
      </c>
      <c r="X175" s="48"/>
    </row>
    <row r="176" spans="1:24" ht="12" customHeight="1" x14ac:dyDescent="0.2">
      <c r="A176" s="37"/>
      <c r="B176" s="38"/>
      <c r="C176" s="38"/>
      <c r="D176" s="38"/>
      <c r="E176" s="38"/>
      <c r="F176" s="38"/>
      <c r="G176" s="38"/>
      <c r="H176" s="38"/>
      <c r="I176" s="38"/>
      <c r="J176" s="38"/>
      <c r="K176" s="38"/>
      <c r="L176" s="39"/>
      <c r="M176" s="28" t="str">
        <f>IF(OR(ISTEXT(O176),ISTEXT(P176)),MAX(M$19:M175)+1,"")</f>
        <v/>
      </c>
      <c r="N176" s="20"/>
      <c r="O176" s="21"/>
      <c r="P176" s="22"/>
      <c r="Q176" s="16"/>
      <c r="R176" s="26"/>
      <c r="S176" s="20"/>
      <c r="T176" s="20"/>
      <c r="U176" s="20"/>
      <c r="V176" s="20"/>
      <c r="W176" s="35" t="str">
        <f>IF(COUNTBLANK(O176:P176)&gt;0,"",IF(AND($W$61&gt;=3,$R176="IF"),data!$D$28,IF(AND($W$61&gt;=3,$R176="I"),data!$E$28,IF(AND($W$61&gt;=3,$R176="AF"),data!$F$28,IF(AND($W$61&gt;=3,$R176="A1"),data!$G$28,IF(AND($W$61&gt;=3,$R176="A2"),data!$H$28,IF(AND($W$61&gt;=3,$R176="SS"),data!$I$28,"")))))))</f>
        <v/>
      </c>
      <c r="X176" s="48"/>
    </row>
    <row r="177" spans="1:24" ht="12" customHeight="1" x14ac:dyDescent="0.2">
      <c r="A177" s="37"/>
      <c r="B177" s="38"/>
      <c r="C177" s="38"/>
      <c r="D177" s="38"/>
      <c r="E177" s="38"/>
      <c r="F177" s="38"/>
      <c r="G177" s="38"/>
      <c r="H177" s="38"/>
      <c r="I177" s="38"/>
      <c r="J177" s="38"/>
      <c r="K177" s="38"/>
      <c r="L177" s="39"/>
      <c r="M177" s="28" t="str">
        <f>IF(OR(ISTEXT(O177),ISTEXT(P177)),MAX(M$19:M176)+1,"")</f>
        <v/>
      </c>
      <c r="N177" s="20"/>
      <c r="O177" s="21"/>
      <c r="P177" s="22"/>
      <c r="Q177" s="16"/>
      <c r="R177" s="26"/>
      <c r="S177" s="20"/>
      <c r="T177" s="20"/>
      <c r="U177" s="20"/>
      <c r="V177" s="20"/>
      <c r="W177" s="35" t="str">
        <f>IF(COUNTBLANK(O177:P177)&gt;0,"",IF(AND($W$61&gt;=3,$R177="IF"),data!$D$28,IF(AND($W$61&gt;=3,$R177="I"),data!$E$28,IF(AND($W$61&gt;=3,$R177="AF"),data!$F$28,IF(AND($W$61&gt;=3,$R177="A1"),data!$G$28,IF(AND($W$61&gt;=3,$R177="A2"),data!$H$28,IF(AND($W$61&gt;=3,$R177="SS"),data!$I$28,"")))))))</f>
        <v/>
      </c>
      <c r="X177" s="48"/>
    </row>
    <row r="178" spans="1:24" ht="12" customHeight="1" x14ac:dyDescent="0.2">
      <c r="A178" s="37"/>
      <c r="B178" s="38"/>
      <c r="C178" s="38"/>
      <c r="D178" s="38"/>
      <c r="E178" s="38"/>
      <c r="F178" s="38"/>
      <c r="G178" s="38"/>
      <c r="H178" s="38"/>
      <c r="I178" s="38"/>
      <c r="J178" s="38"/>
      <c r="K178" s="38"/>
      <c r="L178" s="39"/>
      <c r="M178" s="28" t="str">
        <f>IF(OR(ISTEXT(O178),ISTEXT(P178)),MAX(M$19:M177)+1,"")</f>
        <v/>
      </c>
      <c r="N178" s="20"/>
      <c r="O178" s="21"/>
      <c r="P178" s="22"/>
      <c r="Q178" s="16"/>
      <c r="R178" s="26"/>
      <c r="S178" s="20"/>
      <c r="T178" s="20"/>
      <c r="U178" s="20"/>
      <c r="V178" s="20"/>
      <c r="W178" s="35" t="str">
        <f>IF(COUNTBLANK(O178:P178)&gt;0,"",IF(AND($W$61&gt;=3,$R178="IF"),data!$D$28,IF(AND($W$61&gt;=3,$R178="I"),data!$E$28,IF(AND($W$61&gt;=3,$R178="AF"),data!$F$28,IF(AND($W$61&gt;=3,$R178="A1"),data!$G$28,IF(AND($W$61&gt;=3,$R178="A2"),data!$H$28,IF(AND($W$61&gt;=3,$R178="SS"),data!$I$28,"")))))))</f>
        <v/>
      </c>
      <c r="X178" s="48"/>
    </row>
    <row r="179" spans="1:24" ht="12" customHeight="1" x14ac:dyDescent="0.2">
      <c r="A179" s="37"/>
      <c r="B179" s="38"/>
      <c r="C179" s="38"/>
      <c r="D179" s="38"/>
      <c r="E179" s="38"/>
      <c r="F179" s="38"/>
      <c r="G179" s="38"/>
      <c r="H179" s="38"/>
      <c r="I179" s="38"/>
      <c r="J179" s="38"/>
      <c r="K179" s="38"/>
      <c r="L179" s="39"/>
      <c r="M179" s="28" t="str">
        <f>IF(OR(ISTEXT(O179),ISTEXT(P179)),MAX(M$19:M178)+1,"")</f>
        <v/>
      </c>
      <c r="N179" s="20"/>
      <c r="O179" s="21"/>
      <c r="P179" s="22"/>
      <c r="Q179" s="16"/>
      <c r="R179" s="26"/>
      <c r="S179" s="20"/>
      <c r="T179" s="20"/>
      <c r="U179" s="20"/>
      <c r="V179" s="20"/>
      <c r="W179" s="35" t="str">
        <f>IF(COUNTBLANK(O179:P179)&gt;0,"",IF(AND($W$61&gt;=3,$R179="IF"),data!$D$28,IF(AND($W$61&gt;=3,$R179="I"),data!$E$28,IF(AND($W$61&gt;=3,$R179="AF"),data!$F$28,IF(AND($W$61&gt;=3,$R179="A1"),data!$G$28,IF(AND($W$61&gt;=3,$R179="A2"),data!$H$28,IF(AND($W$61&gt;=3,$R179="SS"),data!$I$28,"")))))))</f>
        <v/>
      </c>
      <c r="X179" s="48"/>
    </row>
    <row r="180" spans="1:24" ht="12" customHeight="1" x14ac:dyDescent="0.2">
      <c r="A180" s="37"/>
      <c r="B180" s="38"/>
      <c r="C180" s="38"/>
      <c r="D180" s="38"/>
      <c r="E180" s="38"/>
      <c r="F180" s="38"/>
      <c r="G180" s="38"/>
      <c r="H180" s="38"/>
      <c r="I180" s="38"/>
      <c r="J180" s="38"/>
      <c r="K180" s="38"/>
      <c r="L180" s="39"/>
      <c r="M180" s="28" t="str">
        <f>IF(OR(ISTEXT(O180),ISTEXT(P180)),MAX(M$19:M179)+1,"")</f>
        <v/>
      </c>
      <c r="N180" s="20"/>
      <c r="O180" s="21"/>
      <c r="P180" s="22"/>
      <c r="Q180" s="16"/>
      <c r="R180" s="26"/>
      <c r="S180" s="20"/>
      <c r="T180" s="20"/>
      <c r="U180" s="20"/>
      <c r="V180" s="20"/>
      <c r="W180" s="35" t="str">
        <f>IF(COUNTBLANK(O180:P180)&gt;0,"",IF(AND($W$61&gt;=3,$R180="IF"),data!$D$28,IF(AND($W$61&gt;=3,$R180="I"),data!$E$28,IF(AND($W$61&gt;=3,$R180="AF"),data!$F$28,IF(AND($W$61&gt;=3,$R180="A1"),data!$G$28,IF(AND($W$61&gt;=3,$R180="A2"),data!$H$28,IF(AND($W$61&gt;=3,$R180="SS"),data!$I$28,"")))))))</f>
        <v/>
      </c>
      <c r="X180" s="48"/>
    </row>
    <row r="181" spans="1:24" ht="12" customHeight="1" thickBot="1" x14ac:dyDescent="0.25">
      <c r="A181" s="37"/>
      <c r="B181" s="38"/>
      <c r="C181" s="38"/>
      <c r="D181" s="38"/>
      <c r="E181" s="38"/>
      <c r="F181" s="38"/>
      <c r="G181" s="38"/>
      <c r="H181" s="38"/>
      <c r="I181" s="38"/>
      <c r="J181" s="38"/>
      <c r="K181" s="38"/>
      <c r="L181" s="39"/>
      <c r="M181" s="28" t="str">
        <f>IF(OR(ISTEXT(O181),ISTEXT(P181)),MAX(M$19:M180)+1,"")</f>
        <v/>
      </c>
      <c r="N181" s="23"/>
      <c r="O181" s="24"/>
      <c r="P181" s="25"/>
      <c r="Q181" s="16"/>
      <c r="R181" s="27"/>
      <c r="S181" s="23"/>
      <c r="T181" s="23"/>
      <c r="U181" s="23"/>
      <c r="V181" s="23"/>
      <c r="W181" s="35" t="str">
        <f>IF(COUNTBLANK(O181:P181)&gt;0,"",IF(AND($W$61&gt;=3,$R181="IF"),data!$D$28,IF(AND($W$61&gt;=3,$R181="I"),data!$E$28,IF(AND($W$61&gt;=3,$R181="AF"),data!$F$28,IF(AND($W$61&gt;=3,$R181="A1"),data!$G$28,IF(AND($W$61&gt;=3,$R181="A2"),data!$H$28,IF(AND($W$61&gt;=3,$R181="SS"),data!$I$28,"")))))))</f>
        <v/>
      </c>
      <c r="X181" s="49"/>
    </row>
    <row r="182" spans="1:24" ht="12" customHeight="1" x14ac:dyDescent="0.2">
      <c r="A182" s="37"/>
      <c r="B182" s="38"/>
      <c r="C182" s="38"/>
      <c r="D182" s="38"/>
      <c r="E182" s="38"/>
      <c r="F182" s="38"/>
      <c r="G182" s="38"/>
      <c r="H182" s="38"/>
      <c r="I182" s="38"/>
      <c r="J182" s="38"/>
      <c r="K182" s="38"/>
      <c r="L182" s="39"/>
      <c r="M182" s="191"/>
      <c r="N182" s="143" t="s">
        <v>105</v>
      </c>
      <c r="O182" s="144"/>
      <c r="P182" s="145"/>
      <c r="Q182" s="151" t="str">
        <f>IF($W$61=3,COUNTA(P162:P181),"")</f>
        <v/>
      </c>
      <c r="R182" s="176" t="str">
        <f>data!$C$57</f>
        <v>Sub-total of fees in C$</v>
      </c>
      <c r="S182" s="177"/>
      <c r="T182" s="177"/>
      <c r="U182" s="177"/>
      <c r="V182" s="178"/>
      <c r="W182" s="184" t="str">
        <f>IF($W$61=3,SUM(W162:W181),"")</f>
        <v/>
      </c>
      <c r="X182" s="171"/>
    </row>
    <row r="183" spans="1:24" ht="12" customHeight="1" thickBot="1" x14ac:dyDescent="0.25">
      <c r="A183" s="37"/>
      <c r="B183" s="38"/>
      <c r="C183" s="38"/>
      <c r="D183" s="38"/>
      <c r="E183" s="38"/>
      <c r="F183" s="38"/>
      <c r="G183" s="38"/>
      <c r="H183" s="38"/>
      <c r="I183" s="38"/>
      <c r="J183" s="38"/>
      <c r="K183" s="38"/>
      <c r="L183" s="39"/>
      <c r="M183" s="192"/>
      <c r="N183" s="146"/>
      <c r="O183" s="147"/>
      <c r="P183" s="148"/>
      <c r="Q183" s="152"/>
      <c r="R183" s="179"/>
      <c r="S183" s="180"/>
      <c r="T183" s="180"/>
      <c r="U183" s="180"/>
      <c r="V183" s="181"/>
      <c r="W183" s="185"/>
      <c r="X183" s="172"/>
    </row>
    <row r="184" spans="1:24" ht="6.75" customHeight="1" x14ac:dyDescent="0.2">
      <c r="A184" s="37"/>
      <c r="B184" s="38"/>
      <c r="C184" s="38"/>
      <c r="D184" s="38"/>
      <c r="E184" s="38"/>
      <c r="F184" s="38"/>
      <c r="G184" s="38"/>
      <c r="H184" s="38"/>
      <c r="I184" s="38"/>
      <c r="J184" s="38"/>
      <c r="K184" s="38"/>
      <c r="L184" s="39"/>
      <c r="M184" s="192"/>
      <c r="N184" s="143" t="s">
        <v>244</v>
      </c>
      <c r="O184" s="144"/>
      <c r="P184" s="145"/>
      <c r="Q184" s="151" t="str">
        <f>IF(AND(OR(NOT($Q$157=0),NOT($Q$182=0)),$W$61=3),SUM($Q$29,$Q$54,$Q$94,$Q$119,$Q$157,$Q$182),"")</f>
        <v/>
      </c>
      <c r="R184" s="176" t="s">
        <v>225</v>
      </c>
      <c r="S184" s="177"/>
      <c r="T184" s="177"/>
      <c r="U184" s="177"/>
      <c r="V184" s="178"/>
      <c r="W184" s="184" t="str">
        <f>IF(AND(OR(NOT($W$157=0),NOT($W$182=0)),$W$61=3),SUM($W$29,$W$54,$W$94,$W$119,$W$157,$W$182),"")</f>
        <v/>
      </c>
      <c r="X184" s="173"/>
    </row>
    <row r="185" spans="1:24" ht="12" customHeight="1" x14ac:dyDescent="0.2">
      <c r="A185" s="37"/>
      <c r="B185" s="38"/>
      <c r="C185" s="38"/>
      <c r="D185" s="38"/>
      <c r="E185" s="38"/>
      <c r="F185" s="38"/>
      <c r="G185" s="38"/>
      <c r="H185" s="38"/>
      <c r="I185" s="38"/>
      <c r="J185" s="38"/>
      <c r="K185" s="38"/>
      <c r="L185" s="39"/>
      <c r="M185" s="192"/>
      <c r="N185" s="194"/>
      <c r="O185" s="195"/>
      <c r="P185" s="196"/>
      <c r="Q185" s="197"/>
      <c r="R185" s="198"/>
      <c r="S185" s="199"/>
      <c r="T185" s="199"/>
      <c r="U185" s="199"/>
      <c r="V185" s="200"/>
      <c r="W185" s="186"/>
      <c r="X185" s="174"/>
    </row>
    <row r="186" spans="1:24" ht="11.1" customHeight="1" thickBot="1" x14ac:dyDescent="0.25">
      <c r="A186" s="37"/>
      <c r="B186" s="38"/>
      <c r="C186" s="38"/>
      <c r="D186" s="38"/>
      <c r="E186" s="38"/>
      <c r="F186" s="38"/>
      <c r="G186" s="38"/>
      <c r="H186" s="38"/>
      <c r="I186" s="38"/>
      <c r="J186" s="38"/>
      <c r="K186" s="38"/>
      <c r="L186" s="39"/>
      <c r="M186" s="193"/>
      <c r="N186" s="146"/>
      <c r="O186" s="147"/>
      <c r="P186" s="148"/>
      <c r="Q186" s="152"/>
      <c r="R186" s="179"/>
      <c r="S186" s="180"/>
      <c r="T186" s="180"/>
      <c r="U186" s="180"/>
      <c r="V186" s="181"/>
      <c r="W186" s="185"/>
      <c r="X186" s="175"/>
    </row>
    <row r="187" spans="1:24" ht="11.1" customHeight="1" x14ac:dyDescent="0.2">
      <c r="A187" s="30"/>
      <c r="B187" s="30"/>
      <c r="C187" s="30"/>
      <c r="D187" s="30"/>
      <c r="E187" s="30"/>
      <c r="F187" s="30"/>
      <c r="G187" s="32"/>
      <c r="H187" s="32"/>
      <c r="I187" s="32"/>
      <c r="J187" s="32"/>
      <c r="K187" s="32"/>
      <c r="L187" s="32"/>
      <c r="M187" s="32"/>
      <c r="N187" s="32"/>
      <c r="O187" s="32"/>
      <c r="P187" s="32"/>
      <c r="Q187" s="32"/>
      <c r="R187" s="32"/>
      <c r="S187" s="32"/>
      <c r="T187" s="32"/>
      <c r="U187" s="32"/>
      <c r="V187" s="32"/>
      <c r="W187" s="32"/>
      <c r="X187" s="32"/>
    </row>
    <row r="188" spans="1:24" ht="11.1" customHeight="1" x14ac:dyDescent="0.2">
      <c r="A188" s="33"/>
      <c r="B188" s="33"/>
      <c r="C188" s="33"/>
      <c r="D188" s="33"/>
      <c r="E188" s="33"/>
      <c r="F188" s="33"/>
      <c r="G188" s="41"/>
      <c r="H188" s="41"/>
      <c r="I188" s="41"/>
      <c r="J188" s="41"/>
      <c r="K188" s="41"/>
      <c r="L188" s="41"/>
      <c r="M188" s="41"/>
      <c r="N188" s="41"/>
      <c r="O188" s="41"/>
      <c r="P188" s="41"/>
      <c r="Q188" s="41"/>
      <c r="R188" s="41"/>
      <c r="S188" s="41"/>
      <c r="T188" s="41"/>
      <c r="U188" s="41"/>
      <c r="V188" s="41"/>
      <c r="W188" s="41"/>
      <c r="X188" s="41"/>
    </row>
    <row r="189" spans="1:24" ht="12" customHeight="1" x14ac:dyDescent="0.2">
      <c r="A189" s="33"/>
      <c r="B189" s="33"/>
      <c r="C189" s="33"/>
      <c r="D189" s="33"/>
      <c r="E189" s="33"/>
      <c r="F189" s="33"/>
      <c r="G189" s="41"/>
      <c r="H189" s="41"/>
      <c r="I189" s="41"/>
      <c r="J189" s="41"/>
      <c r="K189" s="41"/>
      <c r="L189" s="41"/>
      <c r="M189" s="41"/>
      <c r="N189" s="41"/>
      <c r="O189" s="41"/>
      <c r="P189" s="103"/>
      <c r="Q189" s="190" t="s">
        <v>156</v>
      </c>
      <c r="R189" s="170"/>
      <c r="S189" s="167" t="str">
        <f>IF($W$61=3,3,"")</f>
        <v/>
      </c>
      <c r="T189" s="168"/>
      <c r="U189" s="169" t="s">
        <v>52</v>
      </c>
      <c r="V189" s="170"/>
      <c r="W189" s="51" t="str">
        <f>IF($W$61=3,$W$61,"")</f>
        <v/>
      </c>
      <c r="X189" s="41"/>
    </row>
  </sheetData>
  <sheetProtection password="86D3" sheet="1" objects="1" scenarios="1" selectLockedCells="1"/>
  <mergeCells count="401">
    <mergeCell ref="A12:B12"/>
    <mergeCell ref="C12:J12"/>
    <mergeCell ref="D21:L21"/>
    <mergeCell ref="A35:B35"/>
    <mergeCell ref="A25:C25"/>
    <mergeCell ref="A48:C48"/>
    <mergeCell ref="H22:I22"/>
    <mergeCell ref="I38:L38"/>
    <mergeCell ref="C38:E38"/>
    <mergeCell ref="A37:B37"/>
    <mergeCell ref="A44:C44"/>
    <mergeCell ref="C39:E39"/>
    <mergeCell ref="I36:L36"/>
    <mergeCell ref="F36:H36"/>
    <mergeCell ref="I37:L37"/>
    <mergeCell ref="A39:B39"/>
    <mergeCell ref="A19:C19"/>
    <mergeCell ref="D19:L19"/>
    <mergeCell ref="A17:C17"/>
    <mergeCell ref="C37:E37"/>
    <mergeCell ref="A43:E43"/>
    <mergeCell ref="D45:L45"/>
    <mergeCell ref="F37:H37"/>
    <mergeCell ref="A31:E31"/>
    <mergeCell ref="N17:N18"/>
    <mergeCell ref="O17:O18"/>
    <mergeCell ref="I35:L35"/>
    <mergeCell ref="J22:L22"/>
    <mergeCell ref="D25:L25"/>
    <mergeCell ref="D22:G22"/>
    <mergeCell ref="A53:K55"/>
    <mergeCell ref="A14:L15"/>
    <mergeCell ref="E26:L26"/>
    <mergeCell ref="A23:C23"/>
    <mergeCell ref="D16:I16"/>
    <mergeCell ref="O32:O33"/>
    <mergeCell ref="D18:L18"/>
    <mergeCell ref="F39:H39"/>
    <mergeCell ref="I39:L39"/>
    <mergeCell ref="F38:H38"/>
    <mergeCell ref="A38:B38"/>
    <mergeCell ref="C35:E35"/>
    <mergeCell ref="A36:B36"/>
    <mergeCell ref="M54:M58"/>
    <mergeCell ref="B57:G57"/>
    <mergeCell ref="I57:K57"/>
    <mergeCell ref="A56:L56"/>
    <mergeCell ref="C36:E36"/>
    <mergeCell ref="Q29:Q30"/>
    <mergeCell ref="N31:O31"/>
    <mergeCell ref="S61:T61"/>
    <mergeCell ref="U61:V61"/>
    <mergeCell ref="R71:T72"/>
    <mergeCell ref="U12:V12"/>
    <mergeCell ref="A11:E11"/>
    <mergeCell ref="F11:M11"/>
    <mergeCell ref="O12:R12"/>
    <mergeCell ref="Q61:R61"/>
    <mergeCell ref="N54:P55"/>
    <mergeCell ref="S32:V32"/>
    <mergeCell ref="A33:L34"/>
    <mergeCell ref="A22:C22"/>
    <mergeCell ref="M29:M33"/>
    <mergeCell ref="A13:E13"/>
    <mergeCell ref="F13:M13"/>
    <mergeCell ref="F35:H35"/>
    <mergeCell ref="A21:C21"/>
    <mergeCell ref="M14:M18"/>
    <mergeCell ref="A24:C24"/>
    <mergeCell ref="A51:I52"/>
    <mergeCell ref="D17:L17"/>
    <mergeCell ref="Q17:Q18"/>
    <mergeCell ref="R17:R18"/>
    <mergeCell ref="X17:X18"/>
    <mergeCell ref="S17:V17"/>
    <mergeCell ref="W17:W18"/>
    <mergeCell ref="P16:X16"/>
    <mergeCell ref="O77:R77"/>
    <mergeCell ref="Q126:R126"/>
    <mergeCell ref="P31:X31"/>
    <mergeCell ref="N29:P30"/>
    <mergeCell ref="X32:X33"/>
    <mergeCell ref="Q32:Q33"/>
    <mergeCell ref="W76:X76"/>
    <mergeCell ref="U77:V77"/>
    <mergeCell ref="X82:X83"/>
    <mergeCell ref="W119:W120"/>
    <mergeCell ref="R29:V30"/>
    <mergeCell ref="W32:W33"/>
    <mergeCell ref="P32:P33"/>
    <mergeCell ref="N56:P58"/>
    <mergeCell ref="Q56:Q58"/>
    <mergeCell ref="W29:W30"/>
    <mergeCell ref="X56:X58"/>
    <mergeCell ref="N32:N33"/>
    <mergeCell ref="N94:P95"/>
    <mergeCell ref="A77:E77"/>
    <mergeCell ref="A78:E78"/>
    <mergeCell ref="F78:M78"/>
    <mergeCell ref="U137:X137"/>
    <mergeCell ref="U138:V138"/>
    <mergeCell ref="W138:X138"/>
    <mergeCell ref="X145:X146"/>
    <mergeCell ref="W12:X12"/>
    <mergeCell ref="W77:X77"/>
    <mergeCell ref="W56:W58"/>
    <mergeCell ref="X54:X55"/>
    <mergeCell ref="U134:X135"/>
    <mergeCell ref="N14:X15"/>
    <mergeCell ref="W54:W55"/>
    <mergeCell ref="N96:O96"/>
    <mergeCell ref="N69:P71"/>
    <mergeCell ref="N72:P73"/>
    <mergeCell ref="R56:V58"/>
    <mergeCell ref="Q54:Q55"/>
    <mergeCell ref="R32:R33"/>
    <mergeCell ref="R54:V55"/>
    <mergeCell ref="X29:X30"/>
    <mergeCell ref="N16:O16"/>
    <mergeCell ref="P17:P18"/>
    <mergeCell ref="A167:B167"/>
    <mergeCell ref="C167:E167"/>
    <mergeCell ref="F167:H167"/>
    <mergeCell ref="I167:L167"/>
    <mergeCell ref="A165:B165"/>
    <mergeCell ref="C165:E165"/>
    <mergeCell ref="F165:H165"/>
    <mergeCell ref="I165:L165"/>
    <mergeCell ref="A166:B166"/>
    <mergeCell ref="C166:E166"/>
    <mergeCell ref="F166:H166"/>
    <mergeCell ref="I166:L166"/>
    <mergeCell ref="F104:H104"/>
    <mergeCell ref="I104:L104"/>
    <mergeCell ref="A155:L156"/>
    <mergeCell ref="F136:M136"/>
    <mergeCell ref="F137:M137"/>
    <mergeCell ref="A140:E140"/>
    <mergeCell ref="M119:M123"/>
    <mergeCell ref="A147:C147"/>
    <mergeCell ref="K144:L144"/>
    <mergeCell ref="A141:E141"/>
    <mergeCell ref="A144:C144"/>
    <mergeCell ref="D144:I144"/>
    <mergeCell ref="F141:M141"/>
    <mergeCell ref="A142:L143"/>
    <mergeCell ref="M142:M146"/>
    <mergeCell ref="A139:E139"/>
    <mergeCell ref="A145:C145"/>
    <mergeCell ref="D145:L145"/>
    <mergeCell ref="A146:C146"/>
    <mergeCell ref="D147:L147"/>
    <mergeCell ref="J151:L151"/>
    <mergeCell ref="D148:L148"/>
    <mergeCell ref="D146:L146"/>
    <mergeCell ref="D150:G150"/>
    <mergeCell ref="A102:B102"/>
    <mergeCell ref="C102:E102"/>
    <mergeCell ref="F102:H102"/>
    <mergeCell ref="F135:M135"/>
    <mergeCell ref="F134:M134"/>
    <mergeCell ref="I100:L100"/>
    <mergeCell ref="I102:L102"/>
    <mergeCell ref="A103:B103"/>
    <mergeCell ref="C103:E103"/>
    <mergeCell ref="F103:H103"/>
    <mergeCell ref="I103:L103"/>
    <mergeCell ref="A101:B101"/>
    <mergeCell ref="C101:E101"/>
    <mergeCell ref="F101:H101"/>
    <mergeCell ref="I101:L101"/>
    <mergeCell ref="A100:B100"/>
    <mergeCell ref="C100:E100"/>
    <mergeCell ref="F100:H100"/>
    <mergeCell ref="A132:E138"/>
    <mergeCell ref="F132:M132"/>
    <mergeCell ref="F133:M133"/>
    <mergeCell ref="F138:M138"/>
    <mergeCell ref="A104:B104"/>
    <mergeCell ref="C104:E104"/>
    <mergeCell ref="F8:M8"/>
    <mergeCell ref="F9:M9"/>
    <mergeCell ref="L51:L52"/>
    <mergeCell ref="J51:K52"/>
    <mergeCell ref="A4:E10"/>
    <mergeCell ref="F31:L31"/>
    <mergeCell ref="F32:L32"/>
    <mergeCell ref="A32:E32"/>
    <mergeCell ref="J23:L23"/>
    <mergeCell ref="F4:M4"/>
    <mergeCell ref="F5:M5"/>
    <mergeCell ref="F6:M6"/>
    <mergeCell ref="F7:M7"/>
    <mergeCell ref="F10:M10"/>
    <mergeCell ref="A27:L28"/>
    <mergeCell ref="K16:L16"/>
    <mergeCell ref="D23:H23"/>
    <mergeCell ref="D24:L24"/>
    <mergeCell ref="A18:C18"/>
    <mergeCell ref="A16:C16"/>
    <mergeCell ref="A26:D26"/>
    <mergeCell ref="A20:C20"/>
    <mergeCell ref="A29:L30"/>
    <mergeCell ref="D20:L20"/>
    <mergeCell ref="N4:P6"/>
    <mergeCell ref="N9:P9"/>
    <mergeCell ref="N10:P10"/>
    <mergeCell ref="N7:P8"/>
    <mergeCell ref="W11:X11"/>
    <mergeCell ref="W10:X10"/>
    <mergeCell ref="U9:X9"/>
    <mergeCell ref="R4:T5"/>
    <mergeCell ref="U10:V10"/>
    <mergeCell ref="U11:V11"/>
    <mergeCell ref="R6:T7"/>
    <mergeCell ref="U6:X7"/>
    <mergeCell ref="U4:X5"/>
    <mergeCell ref="A41:E41"/>
    <mergeCell ref="F41:L41"/>
    <mergeCell ref="A47:C47"/>
    <mergeCell ref="F43:L43"/>
    <mergeCell ref="D44:L44"/>
    <mergeCell ref="D46:G46"/>
    <mergeCell ref="F42:L42"/>
    <mergeCell ref="A42:E42"/>
    <mergeCell ref="A40:I40"/>
    <mergeCell ref="A45:C45"/>
    <mergeCell ref="J40:L40"/>
    <mergeCell ref="E50:L50"/>
    <mergeCell ref="A46:C46"/>
    <mergeCell ref="D49:L49"/>
    <mergeCell ref="A49:C49"/>
    <mergeCell ref="D48:L48"/>
    <mergeCell ref="D47:L47"/>
    <mergeCell ref="A50:D50"/>
    <mergeCell ref="U71:X72"/>
    <mergeCell ref="H46:I46"/>
    <mergeCell ref="J46:L46"/>
    <mergeCell ref="F70:M70"/>
    <mergeCell ref="F71:M71"/>
    <mergeCell ref="F72:M72"/>
    <mergeCell ref="A76:E76"/>
    <mergeCell ref="A69:E75"/>
    <mergeCell ref="F69:M69"/>
    <mergeCell ref="F74:M74"/>
    <mergeCell ref="F75:M75"/>
    <mergeCell ref="F73:M73"/>
    <mergeCell ref="U74:X74"/>
    <mergeCell ref="U75:V75"/>
    <mergeCell ref="W75:X75"/>
    <mergeCell ref="U76:V76"/>
    <mergeCell ref="N74:P74"/>
    <mergeCell ref="N75:P75"/>
    <mergeCell ref="A79:L80"/>
    <mergeCell ref="M79:M83"/>
    <mergeCell ref="A81:C81"/>
    <mergeCell ref="D81:I81"/>
    <mergeCell ref="K81:L81"/>
    <mergeCell ref="D83:L83"/>
    <mergeCell ref="S82:V82"/>
    <mergeCell ref="W82:W83"/>
    <mergeCell ref="N82:N83"/>
    <mergeCell ref="O82:O83"/>
    <mergeCell ref="P82:P83"/>
    <mergeCell ref="Q82:Q83"/>
    <mergeCell ref="N81:O81"/>
    <mergeCell ref="P81:X81"/>
    <mergeCell ref="N79:X80"/>
    <mergeCell ref="A84:C84"/>
    <mergeCell ref="D84:L84"/>
    <mergeCell ref="A85:C85"/>
    <mergeCell ref="D85:L85"/>
    <mergeCell ref="R82:R83"/>
    <mergeCell ref="A86:C86"/>
    <mergeCell ref="D86:L86"/>
    <mergeCell ref="A82:C82"/>
    <mergeCell ref="D82:L82"/>
    <mergeCell ref="A83:C83"/>
    <mergeCell ref="A87:C87"/>
    <mergeCell ref="D87:G87"/>
    <mergeCell ref="H87:I87"/>
    <mergeCell ref="J87:L87"/>
    <mergeCell ref="A91:D91"/>
    <mergeCell ref="E91:L91"/>
    <mergeCell ref="M94:M98"/>
    <mergeCell ref="A88:C88"/>
    <mergeCell ref="D88:H88"/>
    <mergeCell ref="J88:L88"/>
    <mergeCell ref="A89:C89"/>
    <mergeCell ref="D89:L89"/>
    <mergeCell ref="A90:C90"/>
    <mergeCell ref="D90:L90"/>
    <mergeCell ref="A94:L95"/>
    <mergeCell ref="A97:E97"/>
    <mergeCell ref="A96:E96"/>
    <mergeCell ref="F96:L96"/>
    <mergeCell ref="A98:L99"/>
    <mergeCell ref="A92:L93"/>
    <mergeCell ref="F97:L97"/>
    <mergeCell ref="Q94:Q95"/>
    <mergeCell ref="R94:V95"/>
    <mergeCell ref="Q97:Q98"/>
    <mergeCell ref="R97:R98"/>
    <mergeCell ref="P96:X96"/>
    <mergeCell ref="W94:W95"/>
    <mergeCell ref="X94:X95"/>
    <mergeCell ref="W97:W98"/>
    <mergeCell ref="X97:X98"/>
    <mergeCell ref="N97:N98"/>
    <mergeCell ref="O97:O98"/>
    <mergeCell ref="P97:P98"/>
    <mergeCell ref="X119:X120"/>
    <mergeCell ref="S97:V97"/>
    <mergeCell ref="N121:P123"/>
    <mergeCell ref="Q121:Q123"/>
    <mergeCell ref="R121:V123"/>
    <mergeCell ref="W121:W123"/>
    <mergeCell ref="X121:X123"/>
    <mergeCell ref="N119:P120"/>
    <mergeCell ref="Q119:Q120"/>
    <mergeCell ref="R119:V120"/>
    <mergeCell ref="A150:C150"/>
    <mergeCell ref="H150:I150"/>
    <mergeCell ref="A151:C151"/>
    <mergeCell ref="D151:H151"/>
    <mergeCell ref="S126:T126"/>
    <mergeCell ref="U126:V126"/>
    <mergeCell ref="Q145:Q146"/>
    <mergeCell ref="N145:N146"/>
    <mergeCell ref="O145:O146"/>
    <mergeCell ref="U139:V139"/>
    <mergeCell ref="R134:T135"/>
    <mergeCell ref="A148:C148"/>
    <mergeCell ref="J150:L150"/>
    <mergeCell ref="N142:X143"/>
    <mergeCell ref="U140:V140"/>
    <mergeCell ref="W139:X139"/>
    <mergeCell ref="N132:P134"/>
    <mergeCell ref="N135:P136"/>
    <mergeCell ref="N137:P137"/>
    <mergeCell ref="N138:P138"/>
    <mergeCell ref="P145:P146"/>
    <mergeCell ref="S145:V145"/>
    <mergeCell ref="W145:W146"/>
    <mergeCell ref="R145:R146"/>
    <mergeCell ref="A159:E159"/>
    <mergeCell ref="F159:L159"/>
    <mergeCell ref="A160:E160"/>
    <mergeCell ref="F160:L160"/>
    <mergeCell ref="A153:C153"/>
    <mergeCell ref="A154:D154"/>
    <mergeCell ref="E154:L154"/>
    <mergeCell ref="I164:L164"/>
    <mergeCell ref="A161:L162"/>
    <mergeCell ref="A163:B163"/>
    <mergeCell ref="C163:E163"/>
    <mergeCell ref="F163:H163"/>
    <mergeCell ref="I163:L163"/>
    <mergeCell ref="A164:B164"/>
    <mergeCell ref="C164:E164"/>
    <mergeCell ref="A157:L158"/>
    <mergeCell ref="D153:L153"/>
    <mergeCell ref="F164:H164"/>
    <mergeCell ref="A152:C152"/>
    <mergeCell ref="D152:L152"/>
    <mergeCell ref="A149:C149"/>
    <mergeCell ref="D149:L149"/>
    <mergeCell ref="S189:T189"/>
    <mergeCell ref="U189:V189"/>
    <mergeCell ref="X182:X183"/>
    <mergeCell ref="X184:X186"/>
    <mergeCell ref="X157:X158"/>
    <mergeCell ref="R157:V158"/>
    <mergeCell ref="X160:X161"/>
    <mergeCell ref="W182:W183"/>
    <mergeCell ref="W184:W186"/>
    <mergeCell ref="S160:V160"/>
    <mergeCell ref="Q189:R189"/>
    <mergeCell ref="W157:W158"/>
    <mergeCell ref="M182:M186"/>
    <mergeCell ref="N182:P183"/>
    <mergeCell ref="Q182:Q183"/>
    <mergeCell ref="R182:V183"/>
    <mergeCell ref="N184:P186"/>
    <mergeCell ref="Q184:Q186"/>
    <mergeCell ref="R184:V186"/>
    <mergeCell ref="R160:R161"/>
    <mergeCell ref="M157:M161"/>
    <mergeCell ref="N159:O159"/>
    <mergeCell ref="P159:X159"/>
    <mergeCell ref="Q160:Q161"/>
    <mergeCell ref="N157:P158"/>
    <mergeCell ref="W160:W161"/>
    <mergeCell ref="Q157:Q158"/>
    <mergeCell ref="W140:X140"/>
    <mergeCell ref="O140:R140"/>
    <mergeCell ref="N160:N161"/>
    <mergeCell ref="O160:O161"/>
    <mergeCell ref="P160:P161"/>
    <mergeCell ref="N144:O144"/>
    <mergeCell ref="P144:X144"/>
  </mergeCells>
  <phoneticPr fontId="6" type="noConversion"/>
  <conditionalFormatting sqref="A12 L51:L52 N140 N12 N77">
    <cfRule type="cellIs" dxfId="12" priority="1" stopIfTrue="1" operator="equal">
      <formula>"P"</formula>
    </cfRule>
  </conditionalFormatting>
  <conditionalFormatting sqref="J51:K52">
    <cfRule type="expression" dxfId="11" priority="2" stopIfTrue="1">
      <formula>$L$51="P"</formula>
    </cfRule>
  </conditionalFormatting>
  <conditionalFormatting sqref="A51:I52">
    <cfRule type="expression" dxfId="10" priority="3" stopIfTrue="1">
      <formula>$L$51="P"</formula>
    </cfRule>
  </conditionalFormatting>
  <conditionalFormatting sqref="C12">
    <cfRule type="expression" dxfId="9" priority="4" stopIfTrue="1">
      <formula>$A$12="P"</formula>
    </cfRule>
  </conditionalFormatting>
  <conditionalFormatting sqref="O12:R12">
    <cfRule type="expression" dxfId="8" priority="5" stopIfTrue="1">
      <formula>$N$12="P"</formula>
    </cfRule>
  </conditionalFormatting>
  <conditionalFormatting sqref="O140:R140">
    <cfRule type="expression" dxfId="7" priority="6" stopIfTrue="1">
      <formula>$N$140="P"</formula>
    </cfRule>
  </conditionalFormatting>
  <conditionalFormatting sqref="O77:R77">
    <cfRule type="expression" dxfId="6" priority="7" stopIfTrue="1">
      <formula>$N$77="P"</formula>
    </cfRule>
  </conditionalFormatting>
  <dataValidations xWindow="633" yWindow="574" count="12">
    <dataValidation type="list" allowBlank="1" showInputMessage="1" showErrorMessage="1" sqref="Q19:Q28 Q34:Q53 Q84:Q93 Q99:Q118 Q147:Q156 Q162:Q181">
      <formula1>gender</formula1>
    </dataValidation>
    <dataValidation type="list" allowBlank="1" showInputMessage="1" showErrorMessage="1" sqref="R34:R53 R19:R28 R99:R118 R84:R93 R162:R181 R147:R156">
      <formula1>codes</formula1>
    </dataValidation>
    <dataValidation allowBlank="1" showInputMessage="1" showErrorMessage="1" prompt="Candidates must be paying RAD Members to be eligible for Member pricing on VG Exams. _x000d__x000d_If the Candidate is not a Member, please enter them in the &quot;Non-Member&quot; section below." sqref="O19:P20 O84:P85 O147:P148"/>
    <dataValidation allowBlank="1" showInputMessage="1" showErrorMessage="1" prompt="If Candidates are, or become paying RAD Members, they may be eligible for special pricing on their VG Exams._x000d__x000d_Contact Membership for more information." sqref="O162:P163 O99:P100 O34:P35"/>
    <dataValidation type="list" allowBlank="1" showInputMessage="1" showErrorMessage="1" sqref="J40">
      <formula1>address</formula1>
    </dataValidation>
    <dataValidation type="list" allowBlank="1" showInputMessage="1" showErrorMessage="1" sqref="F31:L31">
      <formula1>Venue</formula1>
    </dataValidation>
    <dataValidation type="textLength" operator="equal" allowBlank="1" showInputMessage="1" showErrorMessage="1" error="Candidate ID must be 6 numbers long." sqref="N19:N28 N34:N53 N84:N93 N99:N118 N147:N156 N162:N181">
      <formula1>6</formula1>
    </dataValidation>
    <dataValidation type="list" allowBlank="1" showInputMessage="1" showErrorMessage="1" sqref="K16">
      <formula1>Title</formula1>
    </dataValidation>
    <dataValidation type="textLength" operator="equal" allowBlank="1" showInputMessage="1" showErrorMessage="1" error="Membership ID must be 6 numbers in length." sqref="C36:E39">
      <formula1>6</formula1>
    </dataValidation>
    <dataValidation type="list" allowBlank="1" showInputMessage="1" showErrorMessage="1" sqref="D22:G22">
      <formula1>Province</formula1>
    </dataValidation>
    <dataValidation operator="equal" allowBlank="1" showInputMessage="1" showErrorMessage="1" error="Membership ID must be 6 numbers in length." sqref="C164:E167 C101:E104"/>
    <dataValidation type="textLength" operator="equal" allowBlank="1" showInputMessage="1" showErrorMessage="1" sqref="S19:V28 S34:V53 S84:V93 S99:V118 S162:V181 S147:V156">
      <formula1>1</formula1>
    </dataValidation>
  </dataValidations>
  <printOptions horizontalCentered="1" verticalCentered="1"/>
  <pageMargins left="0.25" right="0.25" top="0.25" bottom="0.25" header="0.5" footer="0.5"/>
  <pageSetup scale="78" fitToHeight="3" orientation="landscape"/>
  <rowBreaks count="2" manualBreakCount="2">
    <brk id="63" max="16383" man="1"/>
    <brk id="128" max="16383"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18"/>
  <sheetViews>
    <sheetView showGridLines="0" zoomScale="150" workbookViewId="0">
      <selection activeCell="E55" sqref="E55:F55"/>
    </sheetView>
  </sheetViews>
  <sheetFormatPr defaultColWidth="5.7109375" defaultRowHeight="12.75" x14ac:dyDescent="0.2"/>
  <cols>
    <col min="1" max="1" width="2.7109375" style="65" customWidth="1"/>
    <col min="2" max="4" width="5.7109375" style="65"/>
    <col min="5" max="5" width="8" style="65" customWidth="1"/>
    <col min="6" max="16" width="5.7109375" style="65"/>
    <col min="17" max="17" width="2.7109375" style="65" customWidth="1"/>
    <col min="18" max="18" width="3.85546875" style="65" customWidth="1"/>
    <col min="19" max="21" width="5.7109375" style="65" customWidth="1"/>
    <col min="22" max="22" width="5.7109375" style="65"/>
    <col min="23" max="23" width="7.85546875" style="65" bestFit="1" customWidth="1"/>
    <col min="24" max="16384" width="5.7109375" style="65"/>
  </cols>
  <sheetData>
    <row r="1" spans="1:20" x14ac:dyDescent="0.2">
      <c r="A1" s="400"/>
      <c r="B1" s="62"/>
      <c r="C1" s="62"/>
      <c r="D1" s="62"/>
      <c r="E1" s="62"/>
      <c r="F1" s="62"/>
      <c r="G1" s="62"/>
      <c r="H1" s="62"/>
      <c r="I1" s="62"/>
      <c r="J1" s="62"/>
      <c r="K1" s="62"/>
      <c r="L1" s="62"/>
      <c r="M1" s="62"/>
      <c r="N1" s="62"/>
      <c r="O1" s="62"/>
      <c r="P1" s="62"/>
      <c r="Q1" s="63"/>
      <c r="R1" s="64"/>
      <c r="S1" s="64"/>
      <c r="T1" s="64"/>
    </row>
    <row r="2" spans="1:20" x14ac:dyDescent="0.2">
      <c r="A2" s="400"/>
      <c r="B2" s="401" t="s">
        <v>233</v>
      </c>
      <c r="C2" s="402"/>
      <c r="D2" s="402"/>
      <c r="E2" s="402"/>
      <c r="F2" s="402"/>
      <c r="G2" s="402"/>
      <c r="H2" s="66"/>
      <c r="I2" s="66"/>
      <c r="J2" s="62"/>
      <c r="K2" s="62"/>
      <c r="L2" s="62"/>
      <c r="M2" s="62"/>
      <c r="N2" s="62"/>
      <c r="O2" s="62"/>
      <c r="P2" s="62"/>
      <c r="Q2" s="63"/>
      <c r="R2" s="64"/>
      <c r="S2" s="64"/>
      <c r="T2" s="64"/>
    </row>
    <row r="3" spans="1:20" ht="15" customHeight="1" x14ac:dyDescent="0.2">
      <c r="A3" s="400"/>
      <c r="B3" s="402"/>
      <c r="C3" s="402"/>
      <c r="D3" s="402"/>
      <c r="E3" s="402"/>
      <c r="F3" s="402"/>
      <c r="G3" s="402"/>
      <c r="H3" s="66"/>
      <c r="I3" s="66"/>
      <c r="J3" s="67"/>
      <c r="K3" s="67"/>
      <c r="L3" s="67"/>
      <c r="M3" s="68"/>
      <c r="N3" s="68"/>
      <c r="O3" s="68"/>
      <c r="P3" s="68"/>
      <c r="Q3" s="63"/>
      <c r="R3" s="64"/>
      <c r="S3" s="64"/>
      <c r="T3" s="64"/>
    </row>
    <row r="4" spans="1:20" ht="12.75" customHeight="1" x14ac:dyDescent="0.2">
      <c r="A4" s="400"/>
      <c r="B4" s="400"/>
      <c r="C4" s="400"/>
      <c r="D4" s="400"/>
      <c r="E4" s="400"/>
      <c r="F4" s="83"/>
      <c r="G4" s="83"/>
      <c r="H4" s="83"/>
      <c r="I4" s="83"/>
      <c r="J4" s="83"/>
      <c r="K4" s="83"/>
      <c r="L4" s="83"/>
      <c r="M4" s="403"/>
      <c r="N4" s="403"/>
      <c r="O4" s="403"/>
      <c r="P4" s="403"/>
      <c r="Q4" s="63"/>
      <c r="R4" s="64"/>
      <c r="S4" s="64"/>
      <c r="T4" s="64"/>
    </row>
    <row r="5" spans="1:20" x14ac:dyDescent="0.2">
      <c r="A5" s="400"/>
      <c r="B5" s="404" t="s">
        <v>260</v>
      </c>
      <c r="C5" s="404"/>
      <c r="D5" s="404"/>
      <c r="E5" s="404"/>
      <c r="F5" s="83"/>
      <c r="G5" s="83"/>
      <c r="H5" s="83"/>
      <c r="I5" s="83"/>
      <c r="J5" s="83"/>
      <c r="K5" s="83"/>
      <c r="L5" s="83"/>
      <c r="M5" s="403"/>
      <c r="N5" s="403"/>
      <c r="O5" s="403"/>
      <c r="P5" s="403"/>
      <c r="Q5" s="63"/>
      <c r="R5" s="64"/>
      <c r="S5" s="64"/>
      <c r="T5" s="64"/>
    </row>
    <row r="6" spans="1:20" x14ac:dyDescent="0.2">
      <c r="A6" s="400"/>
      <c r="B6" s="69"/>
      <c r="C6" s="324" t="s">
        <v>75</v>
      </c>
      <c r="D6" s="408"/>
      <c r="E6" s="409"/>
      <c r="F6" s="83"/>
      <c r="G6" s="83"/>
      <c r="H6" s="83"/>
      <c r="I6" s="83"/>
      <c r="J6" s="83"/>
      <c r="K6" s="83"/>
      <c r="L6" s="83"/>
      <c r="M6" s="70"/>
      <c r="N6" s="70"/>
      <c r="O6" s="70"/>
      <c r="P6" s="70"/>
      <c r="Q6" s="63"/>
      <c r="R6" s="64"/>
      <c r="S6" s="64"/>
      <c r="T6" s="64"/>
    </row>
    <row r="7" spans="1:20" ht="12.75" customHeight="1" x14ac:dyDescent="0.2">
      <c r="A7" s="400"/>
      <c r="B7" s="71"/>
      <c r="C7" s="324" t="s">
        <v>128</v>
      </c>
      <c r="D7" s="408"/>
      <c r="E7" s="409"/>
      <c r="F7" s="83"/>
      <c r="G7" s="83"/>
      <c r="H7" s="83"/>
      <c r="I7" s="83"/>
      <c r="J7" s="83"/>
      <c r="K7" s="83"/>
      <c r="L7" s="83"/>
      <c r="M7" s="407" t="s">
        <v>256</v>
      </c>
      <c r="N7" s="407"/>
      <c r="O7" s="407"/>
      <c r="P7" s="407"/>
      <c r="Q7" s="63"/>
      <c r="R7" s="64"/>
      <c r="S7" s="64"/>
      <c r="T7" s="64"/>
    </row>
    <row r="8" spans="1:20" x14ac:dyDescent="0.2">
      <c r="A8" s="400"/>
      <c r="B8" s="56"/>
      <c r="C8" s="324" t="s">
        <v>275</v>
      </c>
      <c r="D8" s="408"/>
      <c r="E8" s="409"/>
      <c r="F8" s="83"/>
      <c r="G8" s="83"/>
      <c r="H8" s="83"/>
      <c r="I8" s="83"/>
      <c r="J8" s="83"/>
      <c r="K8" s="83"/>
      <c r="L8" s="83"/>
      <c r="M8" s="407"/>
      <c r="N8" s="407"/>
      <c r="O8" s="407"/>
      <c r="P8" s="407"/>
      <c r="Q8" s="63"/>
      <c r="R8" s="64"/>
      <c r="S8" s="64"/>
      <c r="T8" s="64"/>
    </row>
    <row r="9" spans="1:20" x14ac:dyDescent="0.2">
      <c r="A9" s="400"/>
      <c r="B9" s="441"/>
      <c r="C9" s="441"/>
      <c r="D9" s="441"/>
      <c r="E9" s="441"/>
      <c r="F9" s="441"/>
      <c r="G9" s="441"/>
      <c r="H9" s="441"/>
      <c r="I9" s="441"/>
      <c r="J9" s="441"/>
      <c r="K9" s="441"/>
      <c r="L9" s="441"/>
      <c r="M9" s="441"/>
      <c r="N9" s="441"/>
      <c r="O9" s="441"/>
      <c r="P9" s="441"/>
      <c r="Q9" s="63"/>
      <c r="R9" s="64"/>
      <c r="S9" s="64"/>
      <c r="T9" s="64"/>
    </row>
    <row r="10" spans="1:20" s="72" customFormat="1" x14ac:dyDescent="0.2">
      <c r="A10" s="400"/>
      <c r="B10" s="432" t="s">
        <v>117</v>
      </c>
      <c r="C10" s="433"/>
      <c r="D10" s="434"/>
      <c r="E10" s="442" t="str">
        <f>IF(ISERROR(LOOKUP(1,'Teacher Summary Sheet'!$M$19:$M$181)),"",IF('Teacher Summary Sheet'!F36=0,"",'Teacher Summary Sheet'!F36))</f>
        <v/>
      </c>
      <c r="F10" s="443"/>
      <c r="G10" s="444"/>
      <c r="H10" s="414" t="s">
        <v>124</v>
      </c>
      <c r="I10" s="415"/>
      <c r="J10" s="445" t="str">
        <f>IF(ISERROR(LOOKUP(1,'Teacher Summary Sheet'!$M$19:$M$181)),"",IF('Teacher Summary Sheet'!I36=0,"",'Teacher Summary Sheet'!I36))</f>
        <v/>
      </c>
      <c r="K10" s="446"/>
      <c r="L10" s="447"/>
      <c r="M10" s="414" t="s">
        <v>118</v>
      </c>
      <c r="N10" s="415"/>
      <c r="O10" s="430" t="str">
        <f>IF(ISERROR(LOOKUP(1,'Teacher Summary Sheet'!$M$19:$M$181)),"",IF('Teacher Summary Sheet'!C36=0,"",'Teacher Summary Sheet'!C36))</f>
        <v/>
      </c>
      <c r="P10" s="431"/>
      <c r="Q10" s="63"/>
      <c r="R10" s="545" t="s">
        <v>307</v>
      </c>
      <c r="S10" s="546"/>
      <c r="T10" s="547"/>
    </row>
    <row r="11" spans="1:20" x14ac:dyDescent="0.2">
      <c r="A11" s="400"/>
      <c r="B11" s="432" t="s">
        <v>240</v>
      </c>
      <c r="C11" s="433"/>
      <c r="D11" s="434"/>
      <c r="E11" s="435" t="str">
        <f>IF(NOT($N33=1),"",IF(ISERROR(LOOKUP(1,'Teacher Summary Sheet'!$M$19:$M$181)),"",IF(VLOOKUP(1,'Teacher Summary Sheet'!$M$19:$R$181,2)=0,"",VLOOKUP(1,'Teacher Summary Sheet'!$M$19:$R$181,2))))</f>
        <v/>
      </c>
      <c r="F11" s="436"/>
      <c r="G11" s="437"/>
      <c r="H11" s="438" t="s">
        <v>119</v>
      </c>
      <c r="I11" s="439"/>
      <c r="J11" s="102" t="str">
        <f>IF(NOT($N33=1),"",IF(ISERROR(LOOKUP(1,'Teacher Summary Sheet'!$M$19:$M$181)),"",IF(VLOOKUP(1,'Teacher Summary Sheet'!$M$19:$R$181,6)=0,"",VLOOKUP(1,'Teacher Summary Sheet'!$M$19:$R$181,6))))</f>
        <v/>
      </c>
      <c r="K11" s="414" t="s">
        <v>179</v>
      </c>
      <c r="L11" s="419"/>
      <c r="M11" s="415"/>
      <c r="N11" s="412" t="str">
        <f>IF(NOT($N33=1),"",IF(ISERROR(LOOKUP(1,'Teacher Summary Sheet'!$M$19:$M$181)),"",IF('Teacher Summary Sheet'!$F$31=0,"",'Teacher Summary Sheet'!$F$31)))</f>
        <v/>
      </c>
      <c r="O11" s="440"/>
      <c r="P11" s="413"/>
      <c r="Q11" s="63"/>
      <c r="R11" s="548"/>
      <c r="S11" s="549"/>
      <c r="T11" s="550"/>
    </row>
    <row r="12" spans="1:20" ht="14.25" x14ac:dyDescent="0.2">
      <c r="A12" s="400"/>
      <c r="B12" s="410" t="s">
        <v>241</v>
      </c>
      <c r="C12" s="420"/>
      <c r="D12" s="411"/>
      <c r="E12" s="421" t="str">
        <f>IF(NOT($N33=1),"",IF(ISERROR(LOOKUP(1,'Teacher Summary Sheet'!$M$19:$M$181)),"",IF(VLOOKUP(1,'Teacher Summary Sheet'!$M$19:$R$181,3)=0,"",VLOOKUP(1,'Teacher Summary Sheet'!$M$19:$R$181,3))))</f>
        <v/>
      </c>
      <c r="F12" s="422"/>
      <c r="G12" s="422"/>
      <c r="H12" s="422"/>
      <c r="I12" s="423"/>
      <c r="J12" s="414" t="s">
        <v>124</v>
      </c>
      <c r="K12" s="415"/>
      <c r="L12" s="424" t="str">
        <f>IF(NOT($N33=1),"",IF(ISERROR(LOOKUP(1,'Teacher Summary Sheet'!$M$19:$M$181)),"",IF(VLOOKUP(1,'Teacher Summary Sheet'!$M$19:$R$181,4)=0,"",VLOOKUP(1,'Teacher Summary Sheet'!$M$19:$R$181,4))))</f>
        <v/>
      </c>
      <c r="M12" s="425"/>
      <c r="N12" s="425"/>
      <c r="O12" s="425"/>
      <c r="P12" s="426"/>
      <c r="Q12" s="63"/>
      <c r="R12" s="125" t="str">
        <f>IF(NOT(N33=1),"",IF(COUNTIF(R14:R20,"P")=7,"P","O"))</f>
        <v/>
      </c>
      <c r="S12" s="110" t="str">
        <f>IF(NOT(N33=1),"",IF(COUNTIF(R14:R20,"P")=7,"Complete","Incomplete"))</f>
        <v/>
      </c>
      <c r="T12" s="111"/>
    </row>
    <row r="13" spans="1:20" x14ac:dyDescent="0.2">
      <c r="A13" s="400"/>
      <c r="B13" s="410" t="s">
        <v>120</v>
      </c>
      <c r="C13" s="420"/>
      <c r="D13" s="411"/>
      <c r="E13" s="427"/>
      <c r="F13" s="428"/>
      <c r="G13" s="428"/>
      <c r="H13" s="428"/>
      <c r="I13" s="428"/>
      <c r="J13" s="429"/>
      <c r="K13" s="62" t="s">
        <v>121</v>
      </c>
      <c r="L13" s="427"/>
      <c r="M13" s="428"/>
      <c r="N13" s="428"/>
      <c r="O13" s="428"/>
      <c r="P13" s="429"/>
      <c r="Q13" s="63"/>
    </row>
    <row r="14" spans="1:20" ht="14.25" x14ac:dyDescent="0.2">
      <c r="A14" s="400"/>
      <c r="B14" s="410" t="s">
        <v>196</v>
      </c>
      <c r="C14" s="420"/>
      <c r="D14" s="411"/>
      <c r="E14" s="427"/>
      <c r="F14" s="428"/>
      <c r="G14" s="428"/>
      <c r="H14" s="428"/>
      <c r="I14" s="429"/>
      <c r="J14" s="73" t="s">
        <v>197</v>
      </c>
      <c r="K14" s="405"/>
      <c r="L14" s="406"/>
      <c r="M14" s="414" t="s">
        <v>212</v>
      </c>
      <c r="N14" s="415"/>
      <c r="O14" s="405"/>
      <c r="P14" s="406"/>
      <c r="Q14" s="63"/>
      <c r="R14" s="124" t="str">
        <f>IF(NOT(N33=1),"",IF(OR(COUNTBLANK(E12:E12)=1,COUNTBLANK(L12:L12)=1),"O","P"))</f>
        <v/>
      </c>
      <c r="S14" s="108" t="str">
        <f>IF(NOT(N33=1),"","Candidate Name")</f>
        <v/>
      </c>
      <c r="T14" s="64"/>
    </row>
    <row r="15" spans="1:20" ht="14.25" x14ac:dyDescent="0.2">
      <c r="A15" s="400"/>
      <c r="B15" s="410" t="s">
        <v>198</v>
      </c>
      <c r="C15" s="420"/>
      <c r="D15" s="411"/>
      <c r="E15" s="454"/>
      <c r="F15" s="455"/>
      <c r="G15" s="455"/>
      <c r="H15" s="456"/>
      <c r="I15" s="74" t="s">
        <v>199</v>
      </c>
      <c r="J15" s="427"/>
      <c r="K15" s="428"/>
      <c r="L15" s="428"/>
      <c r="M15" s="428"/>
      <c r="N15" s="428"/>
      <c r="O15" s="428"/>
      <c r="P15" s="429"/>
      <c r="Q15" s="63"/>
      <c r="R15" s="124" t="str">
        <f>IF(NOT(N33=1),"",IF(COUNTBLANK(E11:E11)=1,"O","P"))</f>
        <v/>
      </c>
      <c r="S15" s="108" t="str">
        <f>IF(NOT(N33=1),"","Candidate ID")</f>
        <v/>
      </c>
      <c r="T15" s="64"/>
    </row>
    <row r="16" spans="1:20" ht="14.25" x14ac:dyDescent="0.2">
      <c r="A16" s="400"/>
      <c r="B16" s="410" t="s">
        <v>227</v>
      </c>
      <c r="C16" s="420"/>
      <c r="D16" s="411"/>
      <c r="E16" s="75" t="s">
        <v>218</v>
      </c>
      <c r="F16" s="405"/>
      <c r="G16" s="448"/>
      <c r="H16" s="75" t="s">
        <v>138</v>
      </c>
      <c r="I16" s="449"/>
      <c r="J16" s="450"/>
      <c r="K16" s="76" t="s">
        <v>139</v>
      </c>
      <c r="L16" s="451"/>
      <c r="M16" s="452"/>
      <c r="N16" s="76" t="s">
        <v>228</v>
      </c>
      <c r="O16" s="453" t="str">
        <f ca="1">IF(OR(ISBLANK(L16),ISBLANK(I16),ISBLANK(F16),COUNTBLANK(J11:J11)=1),"",IF(DATEDIF(DATE(L16,VLOOKUP(I16,data!$T$2:$U$13,2,FALSE),F16),IF(AND(TODAY()&lt;data!$AJ$12,TODAY()&gt;data!$AI$12),data!$AI$3,data!$AJ$3),"Y")&gt;=data!$AC$3,YEAR(TODAY())-L16,data!$AD$3))</f>
        <v/>
      </c>
      <c r="P16" s="413"/>
      <c r="Q16" s="63"/>
      <c r="R16" s="124" t="str">
        <f>IF(NOT(N33=1),"",IF(OR(ISBLANK(E13),ISBLANK(L13),ISBLANK(K14),ISBLANK(O14)),"O","P"))</f>
        <v/>
      </c>
      <c r="S16" s="108" t="str">
        <f>IF(NOT(N33=1),"","Address")</f>
        <v/>
      </c>
      <c r="T16" s="64"/>
    </row>
    <row r="17" spans="1:23" ht="15" thickBot="1" x14ac:dyDescent="0.25">
      <c r="A17" s="400"/>
      <c r="B17" s="410" t="s">
        <v>214</v>
      </c>
      <c r="C17" s="411"/>
      <c r="D17" s="412" t="str">
        <f>IF(NOT($N33=1),"",IF(ISERROR(LOOKUP(1,'Teacher Summary Sheet'!$M$19:$M$181)),"",IF(VLOOKUP(1,'Teacher Summary Sheet'!$M$19:$R$181,5)=0,"",VLOOKUP(1,'Teacher Summary Sheet'!$M$19:$R$181,5))))</f>
        <v/>
      </c>
      <c r="E17" s="413"/>
      <c r="F17" s="414"/>
      <c r="G17" s="415"/>
      <c r="H17" s="416"/>
      <c r="I17" s="417"/>
      <c r="J17" s="418"/>
      <c r="K17" s="414" t="s">
        <v>320</v>
      </c>
      <c r="L17" s="419"/>
      <c r="M17" s="419"/>
      <c r="N17" s="415"/>
      <c r="O17" s="405" t="s">
        <v>268</v>
      </c>
      <c r="P17" s="406"/>
      <c r="Q17" s="63"/>
      <c r="R17" s="124" t="str">
        <f>IF(NOT(N33=1),"",IF(OR(ISBLANK(F16),ISBLANK(I16),ISBLANK(L16)),"O","P"))</f>
        <v/>
      </c>
      <c r="S17" s="108" t="str">
        <f>IF(NOT(N33=1),"","Date of Birth")</f>
        <v/>
      </c>
      <c r="T17" s="64"/>
      <c r="U17" s="92"/>
    </row>
    <row r="18" spans="1:23" ht="14.25" x14ac:dyDescent="0.2">
      <c r="A18" s="400"/>
      <c r="B18" s="462" t="s">
        <v>331</v>
      </c>
      <c r="C18" s="463"/>
      <c r="D18" s="463"/>
      <c r="E18" s="463"/>
      <c r="F18" s="463"/>
      <c r="G18" s="463"/>
      <c r="H18" s="463"/>
      <c r="I18" s="463"/>
      <c r="J18" s="463"/>
      <c r="K18" s="463"/>
      <c r="L18" s="463"/>
      <c r="M18" s="463"/>
      <c r="N18" s="463"/>
      <c r="O18" s="463"/>
      <c r="P18" s="464"/>
      <c r="Q18" s="63"/>
      <c r="R18" s="124" t="str">
        <f>IF(NOT(N33=1),"",IF(COUNTBLANK(J11:J11)=1,"O","P"))</f>
        <v/>
      </c>
      <c r="S18" s="112" t="str">
        <f>IF(NOT(N33=1),"","Exam Level")</f>
        <v/>
      </c>
      <c r="T18" s="64"/>
    </row>
    <row r="19" spans="1:23" ht="14.25" x14ac:dyDescent="0.2">
      <c r="A19" s="400"/>
      <c r="B19" s="465"/>
      <c r="C19" s="466"/>
      <c r="D19" s="466"/>
      <c r="E19" s="466"/>
      <c r="F19" s="466"/>
      <c r="G19" s="466"/>
      <c r="H19" s="466"/>
      <c r="I19" s="466"/>
      <c r="J19" s="466"/>
      <c r="K19" s="466"/>
      <c r="L19" s="466"/>
      <c r="M19" s="466"/>
      <c r="N19" s="466"/>
      <c r="O19" s="466"/>
      <c r="P19" s="467"/>
      <c r="Q19" s="63"/>
      <c r="R19" s="124" t="str">
        <f>IF(NOT(N33=1),"",IF(COUNTBLANK(D17:D17)=1,"O","P"))</f>
        <v/>
      </c>
      <c r="S19" s="109" t="str">
        <f>IF(NOT(N33=1),"","Gender")</f>
        <v/>
      </c>
      <c r="T19" s="64"/>
    </row>
    <row r="20" spans="1:23" ht="14.25" x14ac:dyDescent="0.2">
      <c r="A20" s="400"/>
      <c r="B20" s="432" t="s">
        <v>298</v>
      </c>
      <c r="C20" s="433"/>
      <c r="D20" s="434"/>
      <c r="E20" s="405"/>
      <c r="F20" s="406"/>
      <c r="G20" s="432"/>
      <c r="H20" s="433"/>
      <c r="I20" s="434"/>
      <c r="J20" s="405"/>
      <c r="K20" s="448"/>
      <c r="L20" s="406"/>
      <c r="M20" s="414" t="s">
        <v>300</v>
      </c>
      <c r="N20" s="415"/>
      <c r="O20" s="457"/>
      <c r="P20" s="458"/>
      <c r="Q20" s="63"/>
      <c r="R20" s="124" t="str">
        <f>IF(NOT(N33=1),"",IF(ISBLANK(H17),"O","P"))</f>
        <v/>
      </c>
      <c r="S20" s="109" t="str">
        <f>IF(NOT(N33=1),"","Height")</f>
        <v/>
      </c>
      <c r="T20" s="64"/>
    </row>
    <row r="21" spans="1:23" x14ac:dyDescent="0.2">
      <c r="A21" s="400"/>
      <c r="B21" s="77" t="s">
        <v>153</v>
      </c>
      <c r="C21" s="405"/>
      <c r="D21" s="406"/>
      <c r="E21" s="414" t="s">
        <v>301</v>
      </c>
      <c r="F21" s="415"/>
      <c r="G21" s="459"/>
      <c r="H21" s="460"/>
      <c r="I21" s="461"/>
      <c r="J21" s="414" t="s">
        <v>302</v>
      </c>
      <c r="K21" s="415"/>
      <c r="L21" s="454"/>
      <c r="M21" s="455"/>
      <c r="N21" s="455"/>
      <c r="O21" s="455"/>
      <c r="P21" s="456"/>
      <c r="Q21" s="63"/>
      <c r="R21" s="64"/>
      <c r="S21" s="64"/>
      <c r="T21" s="64"/>
    </row>
    <row r="22" spans="1:23" x14ac:dyDescent="0.2">
      <c r="A22" s="400"/>
      <c r="B22" s="410" t="s">
        <v>116</v>
      </c>
      <c r="C22" s="420"/>
      <c r="D22" s="420"/>
      <c r="E22" s="420"/>
      <c r="F22" s="420"/>
      <c r="G22" s="420"/>
      <c r="H22" s="420"/>
      <c r="I22" s="420"/>
      <c r="J22" s="420"/>
      <c r="K22" s="420"/>
      <c r="L22" s="420"/>
      <c r="M22" s="420"/>
      <c r="N22" s="420"/>
      <c r="O22" s="420"/>
      <c r="P22" s="411"/>
      <c r="Q22" s="63"/>
      <c r="R22" s="64"/>
      <c r="S22" s="64"/>
      <c r="T22" s="64"/>
    </row>
    <row r="23" spans="1:23" x14ac:dyDescent="0.2">
      <c r="A23" s="400"/>
      <c r="B23" s="410" t="s">
        <v>298</v>
      </c>
      <c r="C23" s="420"/>
      <c r="D23" s="411"/>
      <c r="E23" s="405"/>
      <c r="F23" s="406"/>
      <c r="G23" s="410" t="s">
        <v>299</v>
      </c>
      <c r="H23" s="420"/>
      <c r="I23" s="411"/>
      <c r="J23" s="454"/>
      <c r="K23" s="455"/>
      <c r="L23" s="456"/>
      <c r="M23" s="414" t="s">
        <v>300</v>
      </c>
      <c r="N23" s="415"/>
      <c r="O23" s="457"/>
      <c r="P23" s="458"/>
      <c r="Q23" s="63"/>
      <c r="R23" s="64"/>
      <c r="S23" s="64"/>
      <c r="T23" s="87"/>
    </row>
    <row r="24" spans="1:23" ht="13.5" thickBot="1" x14ac:dyDescent="0.25">
      <c r="A24" s="400"/>
      <c r="B24" s="78" t="s">
        <v>153</v>
      </c>
      <c r="C24" s="492"/>
      <c r="D24" s="493"/>
      <c r="E24" s="494" t="s">
        <v>301</v>
      </c>
      <c r="F24" s="495"/>
      <c r="G24" s="496"/>
      <c r="H24" s="497"/>
      <c r="I24" s="498"/>
      <c r="J24" s="414" t="s">
        <v>302</v>
      </c>
      <c r="K24" s="415"/>
      <c r="L24" s="454"/>
      <c r="M24" s="455"/>
      <c r="N24" s="455"/>
      <c r="O24" s="455"/>
      <c r="P24" s="456"/>
      <c r="Q24" s="63"/>
      <c r="R24" s="64"/>
      <c r="S24" s="64"/>
      <c r="T24" s="64"/>
    </row>
    <row r="25" spans="1:23" ht="12.75" customHeight="1" x14ac:dyDescent="0.2">
      <c r="A25" s="400"/>
      <c r="B25" s="499" t="s">
        <v>126</v>
      </c>
      <c r="C25" s="500"/>
      <c r="D25" s="500"/>
      <c r="E25" s="500"/>
      <c r="F25" s="500"/>
      <c r="G25" s="500"/>
      <c r="H25" s="500"/>
      <c r="I25" s="501"/>
      <c r="J25" s="505"/>
      <c r="K25" s="506"/>
      <c r="L25" s="506"/>
      <c r="M25" s="506"/>
      <c r="N25" s="506"/>
      <c r="O25" s="506"/>
      <c r="P25" s="507"/>
      <c r="Q25" s="63"/>
      <c r="R25" s="64"/>
      <c r="S25" s="64"/>
      <c r="T25" s="85"/>
      <c r="W25" s="88"/>
    </row>
    <row r="26" spans="1:23" ht="12.75" customHeight="1" x14ac:dyDescent="0.2">
      <c r="A26" s="400"/>
      <c r="B26" s="502"/>
      <c r="C26" s="503"/>
      <c r="D26" s="503"/>
      <c r="E26" s="503"/>
      <c r="F26" s="503"/>
      <c r="G26" s="503"/>
      <c r="H26" s="503"/>
      <c r="I26" s="504"/>
      <c r="J26" s="508"/>
      <c r="K26" s="509"/>
      <c r="L26" s="509"/>
      <c r="M26" s="509"/>
      <c r="N26" s="509"/>
      <c r="O26" s="509"/>
      <c r="P26" s="510"/>
      <c r="Q26" s="63"/>
      <c r="R26" s="64"/>
      <c r="S26" s="64"/>
      <c r="T26" s="64"/>
    </row>
    <row r="27" spans="1:23" x14ac:dyDescent="0.2">
      <c r="A27" s="400"/>
      <c r="B27" s="514" t="s">
        <v>127</v>
      </c>
      <c r="C27" s="515"/>
      <c r="D27" s="515"/>
      <c r="E27" s="515"/>
      <c r="F27" s="515"/>
      <c r="G27" s="515"/>
      <c r="H27" s="515"/>
      <c r="I27" s="516"/>
      <c r="J27" s="508"/>
      <c r="K27" s="509"/>
      <c r="L27" s="509"/>
      <c r="M27" s="509"/>
      <c r="N27" s="509"/>
      <c r="O27" s="509"/>
      <c r="P27" s="510"/>
      <c r="Q27" s="63"/>
      <c r="R27" s="64"/>
      <c r="S27" s="64"/>
      <c r="T27" s="64"/>
    </row>
    <row r="28" spans="1:23" ht="13.5" thickBot="1" x14ac:dyDescent="0.25">
      <c r="A28" s="400"/>
      <c r="B28" s="517"/>
      <c r="C28" s="518"/>
      <c r="D28" s="518"/>
      <c r="E28" s="518"/>
      <c r="F28" s="518"/>
      <c r="G28" s="518"/>
      <c r="H28" s="518"/>
      <c r="I28" s="519"/>
      <c r="J28" s="511"/>
      <c r="K28" s="512"/>
      <c r="L28" s="512"/>
      <c r="M28" s="512"/>
      <c r="N28" s="512"/>
      <c r="O28" s="512"/>
      <c r="P28" s="513"/>
      <c r="Q28" s="63"/>
      <c r="R28" s="64"/>
      <c r="S28" s="64"/>
      <c r="T28" s="64"/>
    </row>
    <row r="29" spans="1:23" ht="12.75" customHeight="1" x14ac:dyDescent="0.2">
      <c r="A29" s="400"/>
      <c r="B29" s="480" t="s">
        <v>10</v>
      </c>
      <c r="C29" s="481"/>
      <c r="D29" s="481"/>
      <c r="E29" s="481"/>
      <c r="F29" s="481"/>
      <c r="G29" s="481"/>
      <c r="H29" s="481"/>
      <c r="I29" s="482"/>
      <c r="J29" s="79">
        <v>1</v>
      </c>
      <c r="K29" s="483"/>
      <c r="L29" s="484"/>
      <c r="M29" s="484"/>
      <c r="N29" s="484"/>
      <c r="O29" s="484"/>
      <c r="P29" s="485"/>
      <c r="Q29" s="63"/>
      <c r="R29" s="64"/>
      <c r="S29" s="64"/>
      <c r="T29" s="64"/>
      <c r="W29" s="88"/>
    </row>
    <row r="30" spans="1:23" x14ac:dyDescent="0.2">
      <c r="A30" s="400"/>
      <c r="B30" s="486" t="s">
        <v>276</v>
      </c>
      <c r="C30" s="487"/>
      <c r="D30" s="487"/>
      <c r="E30" s="487"/>
      <c r="F30" s="487"/>
      <c r="G30" s="487"/>
      <c r="H30" s="487"/>
      <c r="I30" s="488"/>
      <c r="J30" s="80">
        <v>2</v>
      </c>
      <c r="K30" s="454"/>
      <c r="L30" s="455"/>
      <c r="M30" s="455"/>
      <c r="N30" s="455"/>
      <c r="O30" s="455"/>
      <c r="P30" s="456"/>
      <c r="Q30" s="63"/>
      <c r="R30" s="64"/>
      <c r="S30" s="64"/>
      <c r="T30" s="64"/>
    </row>
    <row r="31" spans="1:23" x14ac:dyDescent="0.2">
      <c r="A31" s="400"/>
      <c r="B31" s="489" t="s">
        <v>234</v>
      </c>
      <c r="C31" s="490"/>
      <c r="D31" s="490"/>
      <c r="E31" s="490"/>
      <c r="F31" s="490"/>
      <c r="G31" s="490"/>
      <c r="H31" s="490"/>
      <c r="I31" s="491"/>
      <c r="J31" s="80">
        <v>3</v>
      </c>
      <c r="K31" s="454"/>
      <c r="L31" s="455"/>
      <c r="M31" s="455"/>
      <c r="N31" s="455"/>
      <c r="O31" s="455"/>
      <c r="P31" s="456"/>
      <c r="Q31" s="63"/>
      <c r="R31" s="64"/>
      <c r="S31" s="64"/>
      <c r="T31" s="64"/>
    </row>
    <row r="32" spans="1:23" ht="12.75" customHeight="1" x14ac:dyDescent="0.2">
      <c r="A32" s="400"/>
      <c r="B32" s="468"/>
      <c r="C32" s="468"/>
      <c r="D32" s="468"/>
      <c r="E32" s="468"/>
      <c r="F32" s="468"/>
      <c r="G32" s="468"/>
      <c r="H32" s="468"/>
      <c r="I32" s="468"/>
      <c r="J32" s="468"/>
      <c r="K32" s="468"/>
      <c r="L32" s="468"/>
      <c r="M32" s="468"/>
      <c r="N32" s="468"/>
      <c r="O32" s="468"/>
      <c r="P32" s="468"/>
      <c r="Q32" s="63"/>
      <c r="R32" s="64"/>
      <c r="S32" s="64"/>
      <c r="T32" s="64"/>
    </row>
    <row r="33" spans="1:23" x14ac:dyDescent="0.2">
      <c r="A33" s="400"/>
      <c r="B33" s="469" t="s">
        <v>84</v>
      </c>
      <c r="C33" s="471" t="str">
        <f>IF(CODE(B33)=89,"This candidate would like to receive Special","This candidate would not like to receive Special")</f>
        <v>This candidate would like to receive Special</v>
      </c>
      <c r="D33" s="472"/>
      <c r="E33" s="472"/>
      <c r="F33" s="472"/>
      <c r="G33" s="472"/>
      <c r="H33" s="472"/>
      <c r="I33" s="473"/>
      <c r="J33" s="81"/>
      <c r="K33" s="474" t="s">
        <v>235</v>
      </c>
      <c r="L33" s="474"/>
      <c r="M33" s="475"/>
      <c r="N33" s="51" t="str">
        <f>IF($P$33&gt;=1,1,"")</f>
        <v/>
      </c>
      <c r="O33" s="62" t="s">
        <v>52</v>
      </c>
      <c r="P33" s="51">
        <f>MAX('Teacher Summary Sheet'!$M$19:$M$181)</f>
        <v>0</v>
      </c>
      <c r="Q33" s="63"/>
      <c r="R33" s="64"/>
      <c r="S33" s="64"/>
      <c r="T33" s="64"/>
    </row>
    <row r="34" spans="1:23" ht="12" customHeight="1" x14ac:dyDescent="0.2">
      <c r="A34" s="400"/>
      <c r="B34" s="470"/>
      <c r="C34" s="476" t="str">
        <f>IF(CODE(B33)=89,"Announcements and Bulletins from RAD Canada","Announcements and Bulletins from RAD Canada")</f>
        <v>Announcements and Bulletins from RAD Canada</v>
      </c>
      <c r="D34" s="477"/>
      <c r="E34" s="477"/>
      <c r="F34" s="477"/>
      <c r="G34" s="477"/>
      <c r="H34" s="477"/>
      <c r="I34" s="478"/>
      <c r="J34" s="479"/>
      <c r="K34" s="400"/>
      <c r="L34" s="400"/>
      <c r="M34" s="400"/>
      <c r="N34" s="400"/>
      <c r="O34" s="400"/>
      <c r="P34" s="400"/>
      <c r="Q34" s="63"/>
      <c r="R34" s="64"/>
      <c r="S34" s="64"/>
      <c r="T34" s="64"/>
      <c r="W34" s="88"/>
    </row>
    <row r="35" spans="1:23" x14ac:dyDescent="0.2">
      <c r="A35" s="400"/>
      <c r="B35" s="400"/>
      <c r="C35" s="400"/>
      <c r="D35" s="400"/>
      <c r="E35" s="400"/>
      <c r="F35" s="400"/>
      <c r="G35" s="400"/>
      <c r="H35" s="400"/>
      <c r="I35" s="400"/>
      <c r="J35" s="400"/>
      <c r="K35" s="400"/>
      <c r="L35" s="400"/>
      <c r="M35" s="400"/>
      <c r="N35" s="400"/>
      <c r="O35" s="400"/>
      <c r="P35" s="400"/>
      <c r="Q35" s="63"/>
      <c r="R35" s="64"/>
      <c r="S35" s="64"/>
      <c r="T35" s="64"/>
    </row>
    <row r="36" spans="1:23" x14ac:dyDescent="0.2">
      <c r="A36" s="83"/>
      <c r="B36" s="62"/>
      <c r="C36" s="62"/>
      <c r="D36" s="62"/>
      <c r="E36" s="62"/>
      <c r="F36" s="62"/>
      <c r="G36" s="62"/>
      <c r="H36" s="62"/>
      <c r="I36" s="62"/>
      <c r="J36" s="62"/>
      <c r="K36" s="62"/>
      <c r="L36" s="62"/>
      <c r="M36" s="62"/>
      <c r="N36" s="62"/>
      <c r="O36" s="62"/>
      <c r="P36" s="62"/>
      <c r="Q36" s="63"/>
      <c r="R36" s="64"/>
      <c r="S36" s="64"/>
      <c r="T36" s="64"/>
    </row>
    <row r="37" spans="1:23" x14ac:dyDescent="0.2">
      <c r="A37" s="83"/>
      <c r="B37" s="401" t="s">
        <v>172</v>
      </c>
      <c r="C37" s="402"/>
      <c r="D37" s="402"/>
      <c r="E37" s="402"/>
      <c r="F37" s="402"/>
      <c r="G37" s="402"/>
      <c r="H37" s="62"/>
      <c r="I37" s="62"/>
      <c r="J37" s="62"/>
      <c r="K37" s="62"/>
      <c r="L37" s="62"/>
      <c r="M37" s="62"/>
      <c r="N37" s="62"/>
      <c r="O37" s="62"/>
      <c r="P37" s="62"/>
      <c r="Q37" s="63"/>
      <c r="R37" s="64"/>
      <c r="S37" s="64"/>
      <c r="T37" s="64"/>
    </row>
    <row r="38" spans="1:23" ht="15.75" x14ac:dyDescent="0.25">
      <c r="A38" s="83"/>
      <c r="B38" s="402"/>
      <c r="C38" s="402"/>
      <c r="D38" s="402"/>
      <c r="E38" s="402"/>
      <c r="F38" s="402"/>
      <c r="G38" s="402"/>
      <c r="H38" s="82"/>
      <c r="I38" s="403"/>
      <c r="J38" s="403"/>
      <c r="K38" s="403"/>
      <c r="L38" s="403"/>
      <c r="M38" s="403"/>
      <c r="N38" s="403"/>
      <c r="O38" s="403"/>
      <c r="P38" s="403"/>
      <c r="Q38" s="63"/>
      <c r="R38" s="64"/>
      <c r="S38" s="64"/>
      <c r="T38" s="93"/>
    </row>
    <row r="39" spans="1:23" x14ac:dyDescent="0.2">
      <c r="A39" s="83"/>
      <c r="B39" s="400"/>
      <c r="C39" s="400"/>
      <c r="D39" s="400"/>
      <c r="E39" s="400"/>
      <c r="F39" s="400"/>
      <c r="G39" s="400"/>
      <c r="H39" s="400"/>
      <c r="I39" s="400"/>
      <c r="J39" s="400"/>
      <c r="K39" s="400"/>
      <c r="L39" s="400"/>
      <c r="M39" s="403"/>
      <c r="N39" s="403"/>
      <c r="O39" s="403"/>
      <c r="P39" s="403"/>
      <c r="Q39" s="63"/>
      <c r="R39" s="64"/>
      <c r="S39" s="64"/>
      <c r="T39" s="64"/>
    </row>
    <row r="40" spans="1:23" x14ac:dyDescent="0.2">
      <c r="A40" s="83"/>
      <c r="B40" s="404" t="s">
        <v>260</v>
      </c>
      <c r="C40" s="404"/>
      <c r="D40" s="404"/>
      <c r="E40" s="404"/>
      <c r="F40" s="400"/>
      <c r="G40" s="400"/>
      <c r="H40" s="400"/>
      <c r="I40" s="400"/>
      <c r="J40" s="400"/>
      <c r="K40" s="400"/>
      <c r="L40" s="400"/>
      <c r="M40" s="403"/>
      <c r="N40" s="403"/>
      <c r="O40" s="403"/>
      <c r="P40" s="403"/>
      <c r="Q40" s="63"/>
      <c r="R40" s="64"/>
      <c r="S40" s="64"/>
      <c r="T40" s="64"/>
    </row>
    <row r="41" spans="1:23" x14ac:dyDescent="0.2">
      <c r="A41" s="83"/>
      <c r="B41" s="69"/>
      <c r="C41" s="324" t="s">
        <v>75</v>
      </c>
      <c r="D41" s="408"/>
      <c r="E41" s="409"/>
      <c r="F41" s="400"/>
      <c r="G41" s="400"/>
      <c r="H41" s="400"/>
      <c r="I41" s="400"/>
      <c r="J41" s="400"/>
      <c r="K41" s="400"/>
      <c r="L41" s="400"/>
      <c r="M41" s="70"/>
      <c r="N41" s="70"/>
      <c r="O41" s="70"/>
      <c r="P41" s="70"/>
      <c r="Q41" s="63"/>
      <c r="R41" s="64"/>
      <c r="S41" s="64"/>
      <c r="T41" s="64"/>
    </row>
    <row r="42" spans="1:23" ht="12.75" customHeight="1" x14ac:dyDescent="0.2">
      <c r="A42" s="83"/>
      <c r="B42" s="71"/>
      <c r="C42" s="324" t="s">
        <v>128</v>
      </c>
      <c r="D42" s="408"/>
      <c r="E42" s="409"/>
      <c r="F42" s="400"/>
      <c r="G42" s="400"/>
      <c r="H42" s="400"/>
      <c r="I42" s="400"/>
      <c r="J42" s="400"/>
      <c r="K42" s="400"/>
      <c r="L42" s="400"/>
      <c r="M42" s="407" t="s">
        <v>256</v>
      </c>
      <c r="N42" s="407"/>
      <c r="O42" s="407"/>
      <c r="P42" s="407"/>
      <c r="Q42" s="63"/>
      <c r="R42" s="64"/>
      <c r="S42" s="64"/>
      <c r="T42" s="64"/>
    </row>
    <row r="43" spans="1:23" x14ac:dyDescent="0.2">
      <c r="A43" s="83"/>
      <c r="B43" s="56"/>
      <c r="C43" s="324" t="s">
        <v>142</v>
      </c>
      <c r="D43" s="408"/>
      <c r="E43" s="409"/>
      <c r="F43" s="400"/>
      <c r="G43" s="400"/>
      <c r="H43" s="400"/>
      <c r="I43" s="400"/>
      <c r="J43" s="400"/>
      <c r="K43" s="400"/>
      <c r="L43" s="400"/>
      <c r="M43" s="407"/>
      <c r="N43" s="407"/>
      <c r="O43" s="407"/>
      <c r="P43" s="407"/>
      <c r="Q43" s="63"/>
      <c r="R43" s="64"/>
      <c r="S43" s="64"/>
      <c r="T43" s="64"/>
    </row>
    <row r="44" spans="1:23" x14ac:dyDescent="0.2">
      <c r="A44" s="83"/>
      <c r="B44" s="520"/>
      <c r="C44" s="520"/>
      <c r="D44" s="520"/>
      <c r="E44" s="520"/>
      <c r="F44" s="520"/>
      <c r="G44" s="520"/>
      <c r="H44" s="520"/>
      <c r="I44" s="520"/>
      <c r="J44" s="520"/>
      <c r="K44" s="520"/>
      <c r="L44" s="520"/>
      <c r="M44" s="520"/>
      <c r="N44" s="520"/>
      <c r="O44" s="520"/>
      <c r="P44" s="520"/>
      <c r="Q44" s="63"/>
      <c r="R44" s="64"/>
      <c r="S44" s="64"/>
      <c r="T44" s="64"/>
    </row>
    <row r="45" spans="1:23" x14ac:dyDescent="0.2">
      <c r="A45" s="83"/>
      <c r="B45" s="432" t="s">
        <v>117</v>
      </c>
      <c r="C45" s="433"/>
      <c r="D45" s="434"/>
      <c r="E45" s="442" t="str">
        <f>IF(AND($P$33&gt;=2,NOT(ISBLANK($E$10))),$E$10,"")</f>
        <v/>
      </c>
      <c r="F45" s="443"/>
      <c r="G45" s="444"/>
      <c r="H45" s="414" t="s">
        <v>124</v>
      </c>
      <c r="I45" s="415"/>
      <c r="J45" s="442" t="str">
        <f>IF(AND($P$33&gt;=2,NOT(ISBLANK($J$10))),$J$10,"")</f>
        <v/>
      </c>
      <c r="K45" s="443"/>
      <c r="L45" s="444"/>
      <c r="M45" s="414" t="s">
        <v>118</v>
      </c>
      <c r="N45" s="415"/>
      <c r="O45" s="430" t="str">
        <f>IF(AND($P$33&gt;=2,NOT(ISBLANK($O$10))),$O$10,"")</f>
        <v/>
      </c>
      <c r="P45" s="521"/>
      <c r="Q45" s="63"/>
      <c r="R45" s="545" t="s">
        <v>307</v>
      </c>
      <c r="S45" s="546"/>
      <c r="T45" s="547"/>
    </row>
    <row r="46" spans="1:23" x14ac:dyDescent="0.2">
      <c r="A46" s="83"/>
      <c r="B46" s="432" t="s">
        <v>240</v>
      </c>
      <c r="C46" s="433"/>
      <c r="D46" s="434"/>
      <c r="E46" s="435" t="str">
        <f>IF(NOT($N68=2),"",IF(ISERROR(LOOKUP(2,'Teacher Summary Sheet'!$M$19:$M$181)),"",IF(VLOOKUP(2,'Teacher Summary Sheet'!$M$19:$R$181,2)=0,"",VLOOKUP(2,'Teacher Summary Sheet'!$M$19:$R$181,2))))</f>
        <v/>
      </c>
      <c r="F46" s="436"/>
      <c r="G46" s="437"/>
      <c r="H46" s="438" t="s">
        <v>119</v>
      </c>
      <c r="I46" s="439"/>
      <c r="J46" s="102" t="str">
        <f>IF(NOT($N68=2),"",IF(ISERROR(LOOKUP(2,'Teacher Summary Sheet'!$M$19:$M$181)),"",IF(VLOOKUP(2,'Teacher Summary Sheet'!$M$19:$R$181,6)=0,"",VLOOKUP(2,'Teacher Summary Sheet'!$M$19:$R$181,6))))</f>
        <v/>
      </c>
      <c r="K46" s="414" t="s">
        <v>179</v>
      </c>
      <c r="L46" s="419"/>
      <c r="M46" s="415"/>
      <c r="N46" s="412" t="str">
        <f>IF(NOT($N68=2),"",IF(ISERROR(LOOKUP(2,'Teacher Summary Sheet'!$M$19:$M$181)),"",IF('Teacher Summary Sheet'!$F$31=0,"",'Teacher Summary Sheet'!$F$31)))</f>
        <v/>
      </c>
      <c r="O46" s="440"/>
      <c r="P46" s="413"/>
      <c r="Q46" s="63"/>
      <c r="R46" s="548"/>
      <c r="S46" s="549"/>
      <c r="T46" s="550"/>
    </row>
    <row r="47" spans="1:23" ht="14.25" x14ac:dyDescent="0.2">
      <c r="A47" s="83"/>
      <c r="B47" s="410" t="s">
        <v>241</v>
      </c>
      <c r="C47" s="420"/>
      <c r="D47" s="411"/>
      <c r="E47" s="421" t="str">
        <f>IF(NOT($N68=2),"",IF(ISERROR(LOOKUP(2,'Teacher Summary Sheet'!$M$19:$M$181)),"",IF(VLOOKUP(2,'Teacher Summary Sheet'!$M$19:$R$181,3)=0,"",VLOOKUP(2,'Teacher Summary Sheet'!$M$19:$R$181,3))))</f>
        <v/>
      </c>
      <c r="F47" s="422"/>
      <c r="G47" s="422"/>
      <c r="H47" s="422"/>
      <c r="I47" s="423"/>
      <c r="J47" s="414" t="s">
        <v>124</v>
      </c>
      <c r="K47" s="415"/>
      <c r="L47" s="424" t="str">
        <f>IF(NOT($N68=2),"",IF(ISERROR(LOOKUP(2,'Teacher Summary Sheet'!$M$19:$M$181)),"",IF(VLOOKUP(2,'Teacher Summary Sheet'!$M$19:$R$181,4)=0,"",VLOOKUP(2,'Teacher Summary Sheet'!$M$19:$R$181,4))))</f>
        <v/>
      </c>
      <c r="M47" s="425"/>
      <c r="N47" s="425"/>
      <c r="O47" s="425"/>
      <c r="P47" s="426"/>
      <c r="Q47" s="63"/>
      <c r="R47" s="125" t="str">
        <f>IF(NOT(N68=2),"",IF(COUNTIF(R49:R55,"P")=7,"P","O"))</f>
        <v/>
      </c>
      <c r="S47" s="110" t="str">
        <f>IF(NOT(N68=2),"",IF(COUNTIF(R49:R55,"P")=7,"Complete","Incomplete"))</f>
        <v/>
      </c>
      <c r="T47" s="111"/>
    </row>
    <row r="48" spans="1:23" x14ac:dyDescent="0.2">
      <c r="A48" s="83"/>
      <c r="B48" s="410" t="s">
        <v>120</v>
      </c>
      <c r="C48" s="420"/>
      <c r="D48" s="411"/>
      <c r="E48" s="427"/>
      <c r="F48" s="428"/>
      <c r="G48" s="428"/>
      <c r="H48" s="428"/>
      <c r="I48" s="428"/>
      <c r="J48" s="429"/>
      <c r="K48" s="62" t="s">
        <v>121</v>
      </c>
      <c r="L48" s="427"/>
      <c r="M48" s="428"/>
      <c r="N48" s="428"/>
      <c r="O48" s="428"/>
      <c r="P48" s="429"/>
      <c r="Q48" s="63"/>
    </row>
    <row r="49" spans="1:20" ht="14.25" x14ac:dyDescent="0.2">
      <c r="A49" s="83"/>
      <c r="B49" s="410" t="s">
        <v>196</v>
      </c>
      <c r="C49" s="420"/>
      <c r="D49" s="411"/>
      <c r="E49" s="427"/>
      <c r="F49" s="428"/>
      <c r="G49" s="428"/>
      <c r="H49" s="428"/>
      <c r="I49" s="429"/>
      <c r="J49" s="73" t="s">
        <v>197</v>
      </c>
      <c r="K49" s="405"/>
      <c r="L49" s="406"/>
      <c r="M49" s="414" t="s">
        <v>212</v>
      </c>
      <c r="N49" s="415"/>
      <c r="O49" s="405"/>
      <c r="P49" s="406"/>
      <c r="Q49" s="63"/>
      <c r="R49" s="124" t="str">
        <f>IF(NOT(N68=2),"",IF(OR(COUNTBLANK(E47:E47)=1,COUNTBLANK(L47:L47)=1),"O","P"))</f>
        <v/>
      </c>
      <c r="S49" s="108" t="str">
        <f>IF(NOT(N68=2),"","Candidate Name")</f>
        <v/>
      </c>
      <c r="T49" s="64"/>
    </row>
    <row r="50" spans="1:20" ht="14.25" x14ac:dyDescent="0.2">
      <c r="A50" s="83"/>
      <c r="B50" s="410" t="s">
        <v>198</v>
      </c>
      <c r="C50" s="420"/>
      <c r="D50" s="411"/>
      <c r="E50" s="454"/>
      <c r="F50" s="455"/>
      <c r="G50" s="455"/>
      <c r="H50" s="456"/>
      <c r="I50" s="74" t="s">
        <v>199</v>
      </c>
      <c r="J50" s="427"/>
      <c r="K50" s="428"/>
      <c r="L50" s="428"/>
      <c r="M50" s="428"/>
      <c r="N50" s="428"/>
      <c r="O50" s="428"/>
      <c r="P50" s="429"/>
      <c r="Q50" s="63"/>
      <c r="R50" s="124" t="str">
        <f>IF(NOT(N68=2),"",IF(COUNTBLANK(E46:E46)=1,"O","P"))</f>
        <v/>
      </c>
      <c r="S50" s="108" t="str">
        <f>IF(NOT(N68=2),"","Candidate ID")</f>
        <v/>
      </c>
      <c r="T50" s="64"/>
    </row>
    <row r="51" spans="1:20" ht="14.25" x14ac:dyDescent="0.2">
      <c r="A51" s="83"/>
      <c r="B51" s="410" t="s">
        <v>227</v>
      </c>
      <c r="C51" s="420"/>
      <c r="D51" s="411"/>
      <c r="E51" s="75" t="s">
        <v>218</v>
      </c>
      <c r="F51" s="405"/>
      <c r="G51" s="448"/>
      <c r="H51" s="75" t="s">
        <v>138</v>
      </c>
      <c r="I51" s="449"/>
      <c r="J51" s="450"/>
      <c r="K51" s="76" t="s">
        <v>139</v>
      </c>
      <c r="L51" s="451"/>
      <c r="M51" s="452"/>
      <c r="N51" s="76" t="s">
        <v>228</v>
      </c>
      <c r="O51" s="453" t="str">
        <f ca="1">IF(OR(ISBLANK(L51),ISBLANK(I51),ISBLANK(F51),COUNTBLANK(J46:J46)=1),"",IF(DATEDIF(DATE(L51,VLOOKUP(I51,data!$T$2:$U$13,2,FALSE),F51),IF(AND(TODAY()&lt;data!$AJ$12,TODAY()&gt;data!$AI$12),data!$AI$3,data!$AJ$3),"Y")&gt;=data!$AC$4,YEAR(TODAY())-L51,data!$AD$3))</f>
        <v/>
      </c>
      <c r="P51" s="413"/>
      <c r="Q51" s="63"/>
      <c r="R51" s="124" t="str">
        <f>IF(NOT(N68=2),"",IF(OR(ISBLANK(E48),ISBLANK(L48),ISBLANK(K49),ISBLANK(O49)),"O","P"))</f>
        <v/>
      </c>
      <c r="S51" s="108" t="str">
        <f>IF(NOT(N68=2),"","Address")</f>
        <v/>
      </c>
      <c r="T51" s="64"/>
    </row>
    <row r="52" spans="1:20" ht="15" thickBot="1" x14ac:dyDescent="0.25">
      <c r="A52" s="83"/>
      <c r="B52" s="410" t="s">
        <v>214</v>
      </c>
      <c r="C52" s="411"/>
      <c r="D52" s="412" t="str">
        <f>IF(NOT($N68=2),"",IF(ISERROR(LOOKUP(2,'Teacher Summary Sheet'!$M$19:$M$181)),"",IF(VLOOKUP(2,'Teacher Summary Sheet'!$M$19:$R$181,5)=0,"",VLOOKUP(2,'Teacher Summary Sheet'!$M$19:$R$181,5))))</f>
        <v/>
      </c>
      <c r="E52" s="413"/>
      <c r="F52" s="414" t="s">
        <v>319</v>
      </c>
      <c r="G52" s="415"/>
      <c r="H52" s="416"/>
      <c r="I52" s="417"/>
      <c r="J52" s="418"/>
      <c r="K52" s="414" t="s">
        <v>320</v>
      </c>
      <c r="L52" s="419"/>
      <c r="M52" s="419"/>
      <c r="N52" s="415"/>
      <c r="O52" s="405" t="s">
        <v>268</v>
      </c>
      <c r="P52" s="406"/>
      <c r="Q52" s="63"/>
      <c r="R52" s="124" t="str">
        <f>IF(NOT(N68=2),"",IF(OR(ISBLANK(F51),ISBLANK(I51),ISBLANK(L51)),"O","P"))</f>
        <v/>
      </c>
      <c r="S52" s="108" t="str">
        <f>IF(NOT(N68=2),"","Date of Birth")</f>
        <v/>
      </c>
      <c r="T52" s="64"/>
    </row>
    <row r="53" spans="1:20" ht="14.25" x14ac:dyDescent="0.2">
      <c r="A53" s="83"/>
      <c r="B53" s="522" t="s">
        <v>297</v>
      </c>
      <c r="C53" s="463"/>
      <c r="D53" s="463"/>
      <c r="E53" s="463"/>
      <c r="F53" s="463"/>
      <c r="G53" s="463"/>
      <c r="H53" s="463"/>
      <c r="I53" s="463"/>
      <c r="J53" s="463"/>
      <c r="K53" s="463"/>
      <c r="L53" s="463"/>
      <c r="M53" s="463"/>
      <c r="N53" s="463"/>
      <c r="O53" s="463"/>
      <c r="P53" s="464"/>
      <c r="Q53" s="63"/>
      <c r="R53" s="124" t="str">
        <f>IF(NOT(N68=2),"",IF(COUNTBLANK(J46:J46)=1,"O","P"))</f>
        <v/>
      </c>
      <c r="S53" s="112" t="str">
        <f>IF(NOT(N68=2),"","Exam Level")</f>
        <v/>
      </c>
      <c r="T53" s="64"/>
    </row>
    <row r="54" spans="1:20" ht="14.25" x14ac:dyDescent="0.2">
      <c r="A54" s="83"/>
      <c r="B54" s="465"/>
      <c r="C54" s="466"/>
      <c r="D54" s="466"/>
      <c r="E54" s="466"/>
      <c r="F54" s="466"/>
      <c r="G54" s="466"/>
      <c r="H54" s="466"/>
      <c r="I54" s="466"/>
      <c r="J54" s="466"/>
      <c r="K54" s="466"/>
      <c r="L54" s="466"/>
      <c r="M54" s="466"/>
      <c r="N54" s="466"/>
      <c r="O54" s="466"/>
      <c r="P54" s="467"/>
      <c r="Q54" s="63"/>
      <c r="R54" s="124" t="str">
        <f>IF(NOT(N68=2),"",IF(COUNTBLANK(D52:D52)=1,"O","P"))</f>
        <v/>
      </c>
      <c r="S54" s="109" t="str">
        <f>IF(NOT(N68=2),"","Gender")</f>
        <v/>
      </c>
      <c r="T54" s="64"/>
    </row>
    <row r="55" spans="1:20" ht="14.25" x14ac:dyDescent="0.2">
      <c r="A55" s="83"/>
      <c r="B55" s="432" t="s">
        <v>298</v>
      </c>
      <c r="C55" s="433"/>
      <c r="D55" s="434"/>
      <c r="E55" s="405"/>
      <c r="F55" s="406"/>
      <c r="G55" s="432" t="s">
        <v>299</v>
      </c>
      <c r="H55" s="433"/>
      <c r="I55" s="434"/>
      <c r="J55" s="405"/>
      <c r="K55" s="448"/>
      <c r="L55" s="406"/>
      <c r="M55" s="414" t="s">
        <v>300</v>
      </c>
      <c r="N55" s="415"/>
      <c r="O55" s="457"/>
      <c r="P55" s="458"/>
      <c r="Q55" s="63"/>
      <c r="R55" s="124" t="str">
        <f>IF(NOT(N68=2),"",IF(ISBLANK(H52),"O","P"))</f>
        <v/>
      </c>
      <c r="S55" s="109" t="str">
        <f>IF(NOT(N68=2),"","Height")</f>
        <v/>
      </c>
      <c r="T55" s="64"/>
    </row>
    <row r="56" spans="1:20" x14ac:dyDescent="0.2">
      <c r="A56" s="83"/>
      <c r="B56" s="77" t="s">
        <v>153</v>
      </c>
      <c r="C56" s="405"/>
      <c r="D56" s="406"/>
      <c r="E56" s="414" t="s">
        <v>301</v>
      </c>
      <c r="F56" s="415"/>
      <c r="G56" s="459"/>
      <c r="H56" s="460"/>
      <c r="I56" s="461"/>
      <c r="J56" s="414" t="s">
        <v>302</v>
      </c>
      <c r="K56" s="415"/>
      <c r="L56" s="454"/>
      <c r="M56" s="455"/>
      <c r="N56" s="455"/>
      <c r="O56" s="455"/>
      <c r="P56" s="456"/>
      <c r="Q56" s="63"/>
      <c r="R56" s="64"/>
      <c r="S56" s="64"/>
      <c r="T56" s="64"/>
    </row>
    <row r="57" spans="1:20" x14ac:dyDescent="0.2">
      <c r="A57" s="83"/>
      <c r="B57" s="410" t="s">
        <v>116</v>
      </c>
      <c r="C57" s="420"/>
      <c r="D57" s="420"/>
      <c r="E57" s="420"/>
      <c r="F57" s="420"/>
      <c r="G57" s="420"/>
      <c r="H57" s="420"/>
      <c r="I57" s="420"/>
      <c r="J57" s="420"/>
      <c r="K57" s="420"/>
      <c r="L57" s="420"/>
      <c r="M57" s="420"/>
      <c r="N57" s="420"/>
      <c r="O57" s="420"/>
      <c r="P57" s="411"/>
      <c r="Q57" s="63"/>
      <c r="R57" s="64"/>
      <c r="S57" s="64"/>
      <c r="T57" s="64"/>
    </row>
    <row r="58" spans="1:20" x14ac:dyDescent="0.2">
      <c r="A58" s="83"/>
      <c r="B58" s="410" t="s">
        <v>298</v>
      </c>
      <c r="C58" s="420"/>
      <c r="D58" s="411"/>
      <c r="E58" s="405"/>
      <c r="F58" s="406"/>
      <c r="G58" s="410" t="s">
        <v>299</v>
      </c>
      <c r="H58" s="420"/>
      <c r="I58" s="411"/>
      <c r="J58" s="454"/>
      <c r="K58" s="455"/>
      <c r="L58" s="456"/>
      <c r="M58" s="414" t="s">
        <v>300</v>
      </c>
      <c r="N58" s="415"/>
      <c r="O58" s="457"/>
      <c r="P58" s="458"/>
      <c r="Q58" s="63"/>
      <c r="R58" s="64"/>
      <c r="S58" s="64"/>
      <c r="T58" s="64"/>
    </row>
    <row r="59" spans="1:20" ht="13.5" thickBot="1" x14ac:dyDescent="0.25">
      <c r="A59" s="83"/>
      <c r="B59" s="78" t="s">
        <v>153</v>
      </c>
      <c r="C59" s="492"/>
      <c r="D59" s="493"/>
      <c r="E59" s="494" t="s">
        <v>301</v>
      </c>
      <c r="F59" s="495"/>
      <c r="G59" s="496"/>
      <c r="H59" s="497"/>
      <c r="I59" s="498"/>
      <c r="J59" s="414" t="s">
        <v>302</v>
      </c>
      <c r="K59" s="415"/>
      <c r="L59" s="454"/>
      <c r="M59" s="455"/>
      <c r="N59" s="455"/>
      <c r="O59" s="455"/>
      <c r="P59" s="456"/>
      <c r="Q59" s="63"/>
      <c r="R59" s="64"/>
      <c r="S59" s="64"/>
      <c r="T59" s="64"/>
    </row>
    <row r="60" spans="1:20" ht="12.75" customHeight="1" x14ac:dyDescent="0.2">
      <c r="A60" s="83"/>
      <c r="B60" s="499" t="s">
        <v>126</v>
      </c>
      <c r="C60" s="500"/>
      <c r="D60" s="500"/>
      <c r="E60" s="500"/>
      <c r="F60" s="500"/>
      <c r="G60" s="500"/>
      <c r="H60" s="500"/>
      <c r="I60" s="501"/>
      <c r="J60" s="505"/>
      <c r="K60" s="506"/>
      <c r="L60" s="506"/>
      <c r="M60" s="506"/>
      <c r="N60" s="506"/>
      <c r="O60" s="506"/>
      <c r="P60" s="507"/>
      <c r="Q60" s="63"/>
      <c r="R60" s="64"/>
      <c r="S60" s="64"/>
      <c r="T60" s="64"/>
    </row>
    <row r="61" spans="1:20" ht="12.75" customHeight="1" x14ac:dyDescent="0.2">
      <c r="A61" s="83"/>
      <c r="B61" s="502"/>
      <c r="C61" s="503"/>
      <c r="D61" s="503"/>
      <c r="E61" s="503"/>
      <c r="F61" s="503"/>
      <c r="G61" s="503"/>
      <c r="H61" s="503"/>
      <c r="I61" s="504"/>
      <c r="J61" s="508"/>
      <c r="K61" s="509"/>
      <c r="L61" s="509"/>
      <c r="M61" s="509"/>
      <c r="N61" s="509"/>
      <c r="O61" s="509"/>
      <c r="P61" s="510"/>
      <c r="Q61" s="63"/>
      <c r="R61" s="64"/>
      <c r="S61" s="64"/>
      <c r="T61" s="64"/>
    </row>
    <row r="62" spans="1:20" x14ac:dyDescent="0.2">
      <c r="A62" s="83"/>
      <c r="B62" s="514" t="s">
        <v>127</v>
      </c>
      <c r="C62" s="515"/>
      <c r="D62" s="515"/>
      <c r="E62" s="515"/>
      <c r="F62" s="515"/>
      <c r="G62" s="515"/>
      <c r="H62" s="515"/>
      <c r="I62" s="516"/>
      <c r="J62" s="508"/>
      <c r="K62" s="509"/>
      <c r="L62" s="509"/>
      <c r="M62" s="509"/>
      <c r="N62" s="509"/>
      <c r="O62" s="509"/>
      <c r="P62" s="510"/>
      <c r="Q62" s="63"/>
      <c r="R62" s="64"/>
      <c r="S62" s="64"/>
      <c r="T62" s="64"/>
    </row>
    <row r="63" spans="1:20" ht="13.5" thickBot="1" x14ac:dyDescent="0.25">
      <c r="A63" s="83"/>
      <c r="B63" s="517"/>
      <c r="C63" s="518"/>
      <c r="D63" s="518"/>
      <c r="E63" s="518"/>
      <c r="F63" s="518"/>
      <c r="G63" s="518"/>
      <c r="H63" s="518"/>
      <c r="I63" s="519"/>
      <c r="J63" s="511"/>
      <c r="K63" s="512"/>
      <c r="L63" s="512"/>
      <c r="M63" s="512"/>
      <c r="N63" s="512"/>
      <c r="O63" s="512"/>
      <c r="P63" s="513"/>
      <c r="Q63" s="63"/>
      <c r="R63" s="64"/>
      <c r="S63" s="64"/>
      <c r="T63" s="64"/>
    </row>
    <row r="64" spans="1:20" ht="12.75" customHeight="1" x14ac:dyDescent="0.2">
      <c r="A64" s="83"/>
      <c r="B64" s="480" t="s">
        <v>10</v>
      </c>
      <c r="C64" s="481"/>
      <c r="D64" s="481"/>
      <c r="E64" s="481"/>
      <c r="F64" s="481"/>
      <c r="G64" s="481"/>
      <c r="H64" s="481"/>
      <c r="I64" s="482"/>
      <c r="J64" s="79">
        <v>1</v>
      </c>
      <c r="K64" s="483"/>
      <c r="L64" s="484"/>
      <c r="M64" s="484"/>
      <c r="N64" s="484"/>
      <c r="O64" s="484"/>
      <c r="P64" s="485"/>
      <c r="Q64" s="63"/>
      <c r="R64" s="64"/>
      <c r="S64" s="64"/>
      <c r="T64" s="64"/>
    </row>
    <row r="65" spans="1:20" x14ac:dyDescent="0.2">
      <c r="A65" s="83"/>
      <c r="B65" s="486" t="s">
        <v>276</v>
      </c>
      <c r="C65" s="487"/>
      <c r="D65" s="487"/>
      <c r="E65" s="487"/>
      <c r="F65" s="487"/>
      <c r="G65" s="487"/>
      <c r="H65" s="487"/>
      <c r="I65" s="488"/>
      <c r="J65" s="80">
        <v>2</v>
      </c>
      <c r="K65" s="454"/>
      <c r="L65" s="455"/>
      <c r="M65" s="455"/>
      <c r="N65" s="455"/>
      <c r="O65" s="455"/>
      <c r="P65" s="456"/>
      <c r="Q65" s="63"/>
      <c r="R65" s="64"/>
      <c r="S65" s="64"/>
      <c r="T65" s="64"/>
    </row>
    <row r="66" spans="1:20" x14ac:dyDescent="0.2">
      <c r="A66" s="83"/>
      <c r="B66" s="489" t="s">
        <v>234</v>
      </c>
      <c r="C66" s="490"/>
      <c r="D66" s="490"/>
      <c r="E66" s="490"/>
      <c r="F66" s="490"/>
      <c r="G66" s="490"/>
      <c r="H66" s="490"/>
      <c r="I66" s="491"/>
      <c r="J66" s="80">
        <v>3</v>
      </c>
      <c r="K66" s="454"/>
      <c r="L66" s="455"/>
      <c r="M66" s="455"/>
      <c r="N66" s="455"/>
      <c r="O66" s="455"/>
      <c r="P66" s="456"/>
      <c r="Q66" s="63"/>
      <c r="R66" s="64"/>
      <c r="S66" s="64"/>
      <c r="T66" s="64"/>
    </row>
    <row r="67" spans="1:20" x14ac:dyDescent="0.2">
      <c r="A67" s="83"/>
      <c r="B67" s="468"/>
      <c r="C67" s="468"/>
      <c r="D67" s="468"/>
      <c r="E67" s="468"/>
      <c r="F67" s="468"/>
      <c r="G67" s="468"/>
      <c r="H67" s="468"/>
      <c r="I67" s="468"/>
      <c r="J67" s="468"/>
      <c r="K67" s="468"/>
      <c r="L67" s="468"/>
      <c r="M67" s="468"/>
      <c r="N67" s="468"/>
      <c r="O67" s="468"/>
      <c r="P67" s="468"/>
      <c r="Q67" s="63"/>
      <c r="R67" s="64"/>
      <c r="S67" s="64"/>
      <c r="T67" s="64"/>
    </row>
    <row r="68" spans="1:20" ht="12.75" customHeight="1" x14ac:dyDescent="0.2">
      <c r="A68" s="83"/>
      <c r="B68" s="469" t="s">
        <v>84</v>
      </c>
      <c r="C68" s="471" t="str">
        <f>IF(CODE(B68)=89,"This candidate would like to receive Special","This candidate would not like to receive Special")</f>
        <v>This candidate would like to receive Special</v>
      </c>
      <c r="D68" s="472"/>
      <c r="E68" s="472"/>
      <c r="F68" s="472"/>
      <c r="G68" s="472"/>
      <c r="H68" s="472"/>
      <c r="I68" s="473"/>
      <c r="J68" s="81"/>
      <c r="K68" s="474" t="s">
        <v>294</v>
      </c>
      <c r="L68" s="474"/>
      <c r="M68" s="475"/>
      <c r="N68" s="51" t="str">
        <f>IF($P$33&gt;=2,2,"")</f>
        <v/>
      </c>
      <c r="O68" s="62" t="s">
        <v>52</v>
      </c>
      <c r="P68" s="51" t="str">
        <f>IF($P$33&gt;=2,$P$33,"")</f>
        <v/>
      </c>
      <c r="Q68" s="63"/>
      <c r="R68" s="64"/>
      <c r="S68" s="64"/>
      <c r="T68" s="64"/>
    </row>
    <row r="69" spans="1:20" ht="12.75" customHeight="1" x14ac:dyDescent="0.2">
      <c r="A69" s="83"/>
      <c r="B69" s="470"/>
      <c r="C69" s="476" t="str">
        <f>IF(CODE(B68)=89,"Announcements and Bulletins from RAD Canada","Announcements and Bulletins from RAD Canada")</f>
        <v>Announcements and Bulletins from RAD Canada</v>
      </c>
      <c r="D69" s="477"/>
      <c r="E69" s="477"/>
      <c r="F69" s="477"/>
      <c r="G69" s="477"/>
      <c r="H69" s="477"/>
      <c r="I69" s="478"/>
      <c r="J69" s="479"/>
      <c r="K69" s="400"/>
      <c r="L69" s="400"/>
      <c r="M69" s="400"/>
      <c r="N69" s="400"/>
      <c r="O69" s="400"/>
      <c r="P69" s="400"/>
      <c r="Q69" s="63"/>
      <c r="R69" s="64"/>
      <c r="S69" s="64"/>
      <c r="T69" s="64"/>
    </row>
    <row r="70" spans="1:20" x14ac:dyDescent="0.2">
      <c r="A70" s="83"/>
      <c r="B70" s="400"/>
      <c r="C70" s="400"/>
      <c r="D70" s="400"/>
      <c r="E70" s="400"/>
      <c r="F70" s="400"/>
      <c r="G70" s="400"/>
      <c r="H70" s="400"/>
      <c r="I70" s="400"/>
      <c r="J70" s="400"/>
      <c r="K70" s="400"/>
      <c r="L70" s="400"/>
      <c r="M70" s="400"/>
      <c r="N70" s="400"/>
      <c r="O70" s="400"/>
      <c r="P70" s="400"/>
      <c r="Q70" s="63"/>
      <c r="R70" s="64"/>
    </row>
    <row r="71" spans="1:20" x14ac:dyDescent="0.2">
      <c r="A71" s="83"/>
      <c r="B71" s="62"/>
      <c r="C71" s="62"/>
      <c r="D71" s="62"/>
      <c r="E71" s="62"/>
      <c r="F71" s="62"/>
      <c r="G71" s="62"/>
      <c r="H71" s="62"/>
      <c r="I71" s="62"/>
      <c r="J71" s="62"/>
      <c r="K71" s="62"/>
      <c r="L71" s="62"/>
      <c r="M71" s="62"/>
      <c r="N71" s="62"/>
      <c r="O71" s="62"/>
      <c r="P71" s="62"/>
      <c r="Q71" s="63"/>
      <c r="R71" s="64"/>
    </row>
    <row r="72" spans="1:20" x14ac:dyDescent="0.2">
      <c r="A72" s="83"/>
      <c r="B72" s="401" t="s">
        <v>295</v>
      </c>
      <c r="C72" s="402"/>
      <c r="D72" s="402"/>
      <c r="E72" s="402"/>
      <c r="F72" s="402"/>
      <c r="G72" s="402"/>
      <c r="H72" s="62"/>
      <c r="I72" s="62"/>
      <c r="J72" s="62"/>
      <c r="K72" s="62"/>
      <c r="L72" s="62"/>
      <c r="M72" s="62"/>
      <c r="N72" s="62"/>
      <c r="O72" s="62"/>
      <c r="P72" s="62"/>
      <c r="Q72" s="63"/>
      <c r="R72" s="64"/>
    </row>
    <row r="73" spans="1:20" ht="15.75" x14ac:dyDescent="0.25">
      <c r="A73" s="83"/>
      <c r="B73" s="402"/>
      <c r="C73" s="402"/>
      <c r="D73" s="402"/>
      <c r="E73" s="402"/>
      <c r="F73" s="402"/>
      <c r="G73" s="402"/>
      <c r="H73" s="82"/>
      <c r="I73" s="403"/>
      <c r="J73" s="403"/>
      <c r="K73" s="403"/>
      <c r="L73" s="403"/>
      <c r="M73" s="403"/>
      <c r="N73" s="403"/>
      <c r="O73" s="403"/>
      <c r="P73" s="403"/>
      <c r="Q73" s="63"/>
      <c r="R73" s="64"/>
    </row>
    <row r="74" spans="1:20" x14ac:dyDescent="0.2">
      <c r="A74" s="83"/>
      <c r="B74" s="400"/>
      <c r="C74" s="400"/>
      <c r="D74" s="400"/>
      <c r="E74" s="400"/>
      <c r="F74" s="400"/>
      <c r="G74" s="400"/>
      <c r="H74" s="400"/>
      <c r="I74" s="400"/>
      <c r="J74" s="400"/>
      <c r="K74" s="400"/>
      <c r="L74" s="400"/>
      <c r="M74" s="403"/>
      <c r="N74" s="403"/>
      <c r="O74" s="403"/>
      <c r="P74" s="403"/>
      <c r="Q74" s="63"/>
      <c r="R74" s="64"/>
    </row>
    <row r="75" spans="1:20" x14ac:dyDescent="0.2">
      <c r="A75" s="83"/>
      <c r="B75" s="404" t="s">
        <v>260</v>
      </c>
      <c r="C75" s="404"/>
      <c r="D75" s="404"/>
      <c r="E75" s="404"/>
      <c r="F75" s="400"/>
      <c r="G75" s="400"/>
      <c r="H75" s="400"/>
      <c r="I75" s="400"/>
      <c r="J75" s="400"/>
      <c r="K75" s="400"/>
      <c r="L75" s="400"/>
      <c r="M75" s="403"/>
      <c r="N75" s="403"/>
      <c r="O75" s="403"/>
      <c r="P75" s="403"/>
      <c r="Q75" s="63"/>
      <c r="R75" s="64"/>
    </row>
    <row r="76" spans="1:20" x14ac:dyDescent="0.2">
      <c r="A76" s="83"/>
      <c r="B76" s="69"/>
      <c r="C76" s="324" t="s">
        <v>75</v>
      </c>
      <c r="D76" s="408"/>
      <c r="E76" s="409"/>
      <c r="F76" s="400"/>
      <c r="G76" s="400"/>
      <c r="H76" s="400"/>
      <c r="I76" s="400"/>
      <c r="J76" s="400"/>
      <c r="K76" s="400"/>
      <c r="L76" s="400"/>
      <c r="M76" s="70"/>
      <c r="N76" s="70"/>
      <c r="O76" s="70"/>
      <c r="P76" s="70"/>
      <c r="Q76" s="63"/>
      <c r="R76" s="64"/>
    </row>
    <row r="77" spans="1:20" x14ac:dyDescent="0.2">
      <c r="A77" s="83"/>
      <c r="B77" s="71"/>
      <c r="C77" s="324" t="s">
        <v>128</v>
      </c>
      <c r="D77" s="408"/>
      <c r="E77" s="409"/>
      <c r="F77" s="400"/>
      <c r="G77" s="400"/>
      <c r="H77" s="400"/>
      <c r="I77" s="400"/>
      <c r="J77" s="400"/>
      <c r="K77" s="400"/>
      <c r="L77" s="400"/>
      <c r="M77" s="407" t="s">
        <v>256</v>
      </c>
      <c r="N77" s="407"/>
      <c r="O77" s="407"/>
      <c r="P77" s="407"/>
      <c r="Q77" s="63"/>
      <c r="R77" s="64"/>
    </row>
    <row r="78" spans="1:20" x14ac:dyDescent="0.2">
      <c r="A78" s="83"/>
      <c r="B78" s="56"/>
      <c r="C78" s="324" t="s">
        <v>193</v>
      </c>
      <c r="D78" s="408"/>
      <c r="E78" s="409"/>
      <c r="F78" s="400"/>
      <c r="G78" s="400"/>
      <c r="H78" s="400"/>
      <c r="I78" s="400"/>
      <c r="J78" s="400"/>
      <c r="K78" s="400"/>
      <c r="L78" s="400"/>
      <c r="M78" s="407"/>
      <c r="N78" s="407"/>
      <c r="O78" s="407"/>
      <c r="P78" s="407"/>
      <c r="Q78" s="63"/>
      <c r="R78" s="64"/>
    </row>
    <row r="79" spans="1:20" x14ac:dyDescent="0.2">
      <c r="A79" s="83"/>
      <c r="B79" s="520"/>
      <c r="C79" s="520"/>
      <c r="D79" s="520"/>
      <c r="E79" s="520"/>
      <c r="F79" s="520"/>
      <c r="G79" s="520"/>
      <c r="H79" s="520"/>
      <c r="I79" s="520"/>
      <c r="J79" s="520"/>
      <c r="K79" s="520"/>
      <c r="L79" s="520"/>
      <c r="M79" s="520"/>
      <c r="N79" s="520"/>
      <c r="O79" s="520"/>
      <c r="P79" s="520"/>
      <c r="Q79" s="63"/>
      <c r="R79" s="64"/>
    </row>
    <row r="80" spans="1:20" x14ac:dyDescent="0.2">
      <c r="A80" s="83"/>
      <c r="B80" s="432" t="s">
        <v>117</v>
      </c>
      <c r="C80" s="433"/>
      <c r="D80" s="434"/>
      <c r="E80" s="442" t="str">
        <f>IF(AND($P$33&gt;=3,NOT(ISBLANK($E$10))),$E$10,"")</f>
        <v/>
      </c>
      <c r="F80" s="443"/>
      <c r="G80" s="444"/>
      <c r="H80" s="414" t="s">
        <v>124</v>
      </c>
      <c r="I80" s="415"/>
      <c r="J80" s="442" t="str">
        <f>IF(AND($P$33&gt;=3,NOT(ISBLANK($J$10))),$J$10,"")</f>
        <v/>
      </c>
      <c r="K80" s="443"/>
      <c r="L80" s="444"/>
      <c r="M80" s="414" t="s">
        <v>118</v>
      </c>
      <c r="N80" s="415"/>
      <c r="O80" s="430" t="str">
        <f>IF(AND($P$33&gt;=3,NOT(ISBLANK($O$10))),$O$10,"")</f>
        <v/>
      </c>
      <c r="P80" s="521"/>
      <c r="Q80" s="63"/>
      <c r="R80" s="545" t="s">
        <v>307</v>
      </c>
      <c r="S80" s="546"/>
      <c r="T80" s="547"/>
    </row>
    <row r="81" spans="1:20" x14ac:dyDescent="0.2">
      <c r="A81" s="83"/>
      <c r="B81" s="432" t="s">
        <v>240</v>
      </c>
      <c r="C81" s="433"/>
      <c r="D81" s="434"/>
      <c r="E81" s="435" t="str">
        <f>IF(NOT($N103=3),"",IF(ISERROR(LOOKUP(3,'Teacher Summary Sheet'!$M$19:$M$181)),"",IF(VLOOKUP(3,'Teacher Summary Sheet'!$M$19:$R$181,2)=0,"",VLOOKUP(3,'Teacher Summary Sheet'!$M$19:$R$181,2))))</f>
        <v/>
      </c>
      <c r="F81" s="436"/>
      <c r="G81" s="437"/>
      <c r="H81" s="438" t="s">
        <v>119</v>
      </c>
      <c r="I81" s="439"/>
      <c r="J81" s="102" t="str">
        <f>IF(NOT($N103=3),"",IF(ISERROR(LOOKUP(3,'Teacher Summary Sheet'!$M$19:$M$181)),"",IF(VLOOKUP(3,'Teacher Summary Sheet'!$M$19:$R$181,6)=0,"",VLOOKUP(3,'Teacher Summary Sheet'!$M$19:$R$181,6))))</f>
        <v/>
      </c>
      <c r="K81" s="414" t="s">
        <v>179</v>
      </c>
      <c r="L81" s="419"/>
      <c r="M81" s="415"/>
      <c r="N81" s="412" t="str">
        <f>IF(NOT($N103=3),"",IF(ISERROR(LOOKUP(3,'Teacher Summary Sheet'!$M$19:$M$181)),"",IF('Teacher Summary Sheet'!$F$31=0,"",'Teacher Summary Sheet'!$F$31)))</f>
        <v/>
      </c>
      <c r="O81" s="440"/>
      <c r="P81" s="413"/>
      <c r="Q81" s="63"/>
      <c r="R81" s="548"/>
      <c r="S81" s="549"/>
      <c r="T81" s="550"/>
    </row>
    <row r="82" spans="1:20" ht="14.25" x14ac:dyDescent="0.2">
      <c r="A82" s="83"/>
      <c r="B82" s="410" t="s">
        <v>241</v>
      </c>
      <c r="C82" s="420"/>
      <c r="D82" s="411"/>
      <c r="E82" s="421" t="str">
        <f>IF(NOT($N103=3),"",IF(ISERROR(LOOKUP(3,'Teacher Summary Sheet'!$M$19:$M$181)),"",IF(VLOOKUP(3,'Teacher Summary Sheet'!$M$19:$R$181,3)=0,"",VLOOKUP(3,'Teacher Summary Sheet'!$M$19:$R$181,3))))</f>
        <v/>
      </c>
      <c r="F82" s="422"/>
      <c r="G82" s="422"/>
      <c r="H82" s="422"/>
      <c r="I82" s="423"/>
      <c r="J82" s="414" t="s">
        <v>124</v>
      </c>
      <c r="K82" s="415"/>
      <c r="L82" s="424" t="str">
        <f>IF(NOT($N103=3),"",IF(ISERROR(LOOKUP(3,'Teacher Summary Sheet'!$M$19:$M$181)),"",IF(VLOOKUP(3,'Teacher Summary Sheet'!$M$19:$R$181,4)=0,"",VLOOKUP(3,'Teacher Summary Sheet'!$M$19:$R$181,4))))</f>
        <v/>
      </c>
      <c r="M82" s="425"/>
      <c r="N82" s="425"/>
      <c r="O82" s="425"/>
      <c r="P82" s="426"/>
      <c r="Q82" s="63"/>
      <c r="R82" s="125" t="str">
        <f>IF(NOT(N103=3),"",IF(COUNTIF(R84:R90,"P")=7,"P","O"))</f>
        <v/>
      </c>
      <c r="S82" s="110" t="str">
        <f>IF(NOT(N103=3),"",IF(COUNTIF(R84:R90,"P")=7,"Complete","Incomplete"))</f>
        <v/>
      </c>
      <c r="T82" s="111"/>
    </row>
    <row r="83" spans="1:20" x14ac:dyDescent="0.2">
      <c r="A83" s="83"/>
      <c r="B83" s="410" t="s">
        <v>120</v>
      </c>
      <c r="C83" s="420"/>
      <c r="D83" s="411"/>
      <c r="E83" s="427"/>
      <c r="F83" s="428"/>
      <c r="G83" s="428"/>
      <c r="H83" s="428"/>
      <c r="I83" s="428"/>
      <c r="J83" s="429"/>
      <c r="K83" s="62" t="s">
        <v>121</v>
      </c>
      <c r="L83" s="427"/>
      <c r="M83" s="428"/>
      <c r="N83" s="428"/>
      <c r="O83" s="428"/>
      <c r="P83" s="429"/>
      <c r="Q83" s="63"/>
    </row>
    <row r="84" spans="1:20" ht="14.25" x14ac:dyDescent="0.2">
      <c r="A84" s="83"/>
      <c r="B84" s="410" t="s">
        <v>196</v>
      </c>
      <c r="C84" s="420"/>
      <c r="D84" s="411"/>
      <c r="E84" s="427"/>
      <c r="F84" s="428"/>
      <c r="G84" s="428"/>
      <c r="H84" s="428"/>
      <c r="I84" s="429"/>
      <c r="J84" s="73" t="s">
        <v>197</v>
      </c>
      <c r="K84" s="405"/>
      <c r="L84" s="406"/>
      <c r="M84" s="414" t="s">
        <v>212</v>
      </c>
      <c r="N84" s="415"/>
      <c r="O84" s="405"/>
      <c r="P84" s="406"/>
      <c r="Q84" s="63"/>
      <c r="R84" s="124" t="str">
        <f>IF(NOT(N103=3),"",IF(OR(COUNTBLANK(E82:E82)=1,COUNTBLANK(L82:L82)=1),"O","P"))</f>
        <v/>
      </c>
      <c r="S84" s="108" t="str">
        <f>IF(NOT(N103=3),"","Candidate Name")</f>
        <v/>
      </c>
      <c r="T84" s="64"/>
    </row>
    <row r="85" spans="1:20" ht="14.25" x14ac:dyDescent="0.2">
      <c r="A85" s="83"/>
      <c r="B85" s="410" t="s">
        <v>198</v>
      </c>
      <c r="C85" s="420"/>
      <c r="D85" s="411"/>
      <c r="E85" s="454"/>
      <c r="F85" s="455"/>
      <c r="G85" s="455"/>
      <c r="H85" s="456"/>
      <c r="I85" s="74" t="s">
        <v>199</v>
      </c>
      <c r="J85" s="427"/>
      <c r="K85" s="428"/>
      <c r="L85" s="428"/>
      <c r="M85" s="428"/>
      <c r="N85" s="428"/>
      <c r="O85" s="428"/>
      <c r="P85" s="429"/>
      <c r="Q85" s="63"/>
      <c r="R85" s="124" t="str">
        <f>IF(NOT(N103=3),"",IF(COUNTBLANK(E81:E81)=1,"O","P"))</f>
        <v/>
      </c>
      <c r="S85" s="108" t="str">
        <f>IF(NOT(N103=3),"","Candidate ID")</f>
        <v/>
      </c>
      <c r="T85" s="64"/>
    </row>
    <row r="86" spans="1:20" ht="14.25" x14ac:dyDescent="0.2">
      <c r="A86" s="83"/>
      <c r="B86" s="410" t="s">
        <v>227</v>
      </c>
      <c r="C86" s="420"/>
      <c r="D86" s="411"/>
      <c r="E86" s="75" t="s">
        <v>218</v>
      </c>
      <c r="F86" s="405"/>
      <c r="G86" s="448"/>
      <c r="H86" s="75" t="s">
        <v>138</v>
      </c>
      <c r="I86" s="449"/>
      <c r="J86" s="450"/>
      <c r="K86" s="76" t="s">
        <v>139</v>
      </c>
      <c r="L86" s="451"/>
      <c r="M86" s="452"/>
      <c r="N86" s="76" t="s">
        <v>228</v>
      </c>
      <c r="O86" s="453" t="str">
        <f ca="1">IF(OR(ISBLANK(L86),ISBLANK(I86),ISBLANK(F86),COUNTBLANK(J81:J81)=1),"",IF(DATEDIF(DATE(L86,VLOOKUP(I86,data!$T$2:$U$13,2,FALSE),F86),IF(AND(TODAY()&lt;data!$AJ$12,TODAY()&gt;data!$AI$12),data!$AI$3,data!$AJ$3),"Y")&gt;=data!$AC$5,YEAR(TODAY())-L86,data!$AD$3))</f>
        <v/>
      </c>
      <c r="P86" s="523"/>
      <c r="Q86" s="63"/>
      <c r="R86" s="124" t="str">
        <f>IF(NOT(N103=3),"",IF(OR(ISBLANK(E83),ISBLANK(L83),ISBLANK(K84),ISBLANK(O84)),"O","P"))</f>
        <v/>
      </c>
      <c r="S86" s="108" t="str">
        <f>IF(NOT(N103=3),"","Address")</f>
        <v/>
      </c>
      <c r="T86" s="64"/>
    </row>
    <row r="87" spans="1:20" ht="15" thickBot="1" x14ac:dyDescent="0.25">
      <c r="A87" s="83"/>
      <c r="B87" s="410" t="s">
        <v>214</v>
      </c>
      <c r="C87" s="411"/>
      <c r="D87" s="412" t="str">
        <f>IF(NOT($N103=3),"",IF(ISERROR(LOOKUP(3,'Teacher Summary Sheet'!$M$19:$M$181)),"",IF(VLOOKUP(3,'Teacher Summary Sheet'!$M$19:$R$181,5)=0,"",VLOOKUP(3,'Teacher Summary Sheet'!$M$19:$R$181,5))))</f>
        <v/>
      </c>
      <c r="E87" s="413"/>
      <c r="F87" s="414" t="s">
        <v>319</v>
      </c>
      <c r="G87" s="415"/>
      <c r="H87" s="416"/>
      <c r="I87" s="417"/>
      <c r="J87" s="418"/>
      <c r="K87" s="414" t="s">
        <v>320</v>
      </c>
      <c r="L87" s="419"/>
      <c r="M87" s="419"/>
      <c r="N87" s="415"/>
      <c r="O87" s="405" t="s">
        <v>268</v>
      </c>
      <c r="P87" s="406"/>
      <c r="Q87" s="63"/>
      <c r="R87" s="124" t="str">
        <f>IF(NOT(N103=3),"",IF(OR(ISBLANK(F86),ISBLANK(I86),ISBLANK(L86)),"O","P"))</f>
        <v/>
      </c>
      <c r="S87" s="108" t="str">
        <f>IF(NOT(N103=3),"","Date of Birth")</f>
        <v/>
      </c>
      <c r="T87" s="64"/>
    </row>
    <row r="88" spans="1:20" ht="14.25" x14ac:dyDescent="0.2">
      <c r="A88" s="83"/>
      <c r="B88" s="522" t="s">
        <v>297</v>
      </c>
      <c r="C88" s="463"/>
      <c r="D88" s="463"/>
      <c r="E88" s="463"/>
      <c r="F88" s="463"/>
      <c r="G88" s="463"/>
      <c r="H88" s="463"/>
      <c r="I88" s="463"/>
      <c r="J88" s="463"/>
      <c r="K88" s="463"/>
      <c r="L88" s="463"/>
      <c r="M88" s="463"/>
      <c r="N88" s="463"/>
      <c r="O88" s="463"/>
      <c r="P88" s="464"/>
      <c r="Q88" s="63"/>
      <c r="R88" s="124" t="str">
        <f>IF(NOT(N103=3),"",IF(COUNTBLANK(J81:J81)=1,"O","P"))</f>
        <v/>
      </c>
      <c r="S88" s="112" t="str">
        <f>IF(NOT(N103=3),"","Exam Level")</f>
        <v/>
      </c>
      <c r="T88" s="64"/>
    </row>
    <row r="89" spans="1:20" ht="14.25" x14ac:dyDescent="0.2">
      <c r="A89" s="83"/>
      <c r="B89" s="465"/>
      <c r="C89" s="466"/>
      <c r="D89" s="466"/>
      <c r="E89" s="466"/>
      <c r="F89" s="466"/>
      <c r="G89" s="466"/>
      <c r="H89" s="466"/>
      <c r="I89" s="466"/>
      <c r="J89" s="466"/>
      <c r="K89" s="466"/>
      <c r="L89" s="466"/>
      <c r="M89" s="466"/>
      <c r="N89" s="466"/>
      <c r="O89" s="466"/>
      <c r="P89" s="467"/>
      <c r="Q89" s="63"/>
      <c r="R89" s="124" t="str">
        <f>IF(NOT(N103=3),"",IF(COUNTBLANK(D87:D87)=1,"O","P"))</f>
        <v/>
      </c>
      <c r="S89" s="109" t="str">
        <f>IF(NOT(N103=3),"","Gender")</f>
        <v/>
      </c>
      <c r="T89" s="64"/>
    </row>
    <row r="90" spans="1:20" ht="14.25" x14ac:dyDescent="0.2">
      <c r="A90" s="83"/>
      <c r="B90" s="432" t="s">
        <v>298</v>
      </c>
      <c r="C90" s="433"/>
      <c r="D90" s="434"/>
      <c r="E90" s="405"/>
      <c r="F90" s="406"/>
      <c r="G90" s="432" t="s">
        <v>299</v>
      </c>
      <c r="H90" s="433"/>
      <c r="I90" s="434"/>
      <c r="J90" s="405"/>
      <c r="K90" s="448"/>
      <c r="L90" s="406"/>
      <c r="M90" s="414" t="s">
        <v>300</v>
      </c>
      <c r="N90" s="415"/>
      <c r="O90" s="457"/>
      <c r="P90" s="458"/>
      <c r="Q90" s="63"/>
      <c r="R90" s="124" t="str">
        <f>IF(NOT(N103=3),"",IF(ISBLANK(H87),"O","P"))</f>
        <v/>
      </c>
      <c r="S90" s="109" t="str">
        <f>IF(NOT(N103=3),"","Height")</f>
        <v/>
      </c>
      <c r="T90" s="64"/>
    </row>
    <row r="91" spans="1:20" x14ac:dyDescent="0.2">
      <c r="A91" s="83"/>
      <c r="B91" s="77" t="s">
        <v>153</v>
      </c>
      <c r="C91" s="405"/>
      <c r="D91" s="406"/>
      <c r="E91" s="414" t="s">
        <v>301</v>
      </c>
      <c r="F91" s="415"/>
      <c r="G91" s="459"/>
      <c r="H91" s="460"/>
      <c r="I91" s="461"/>
      <c r="J91" s="414" t="s">
        <v>302</v>
      </c>
      <c r="K91" s="415"/>
      <c r="L91" s="454"/>
      <c r="M91" s="455"/>
      <c r="N91" s="455"/>
      <c r="O91" s="455"/>
      <c r="P91" s="456"/>
      <c r="Q91" s="63"/>
      <c r="R91" s="64"/>
      <c r="S91" s="64"/>
      <c r="T91" s="64"/>
    </row>
    <row r="92" spans="1:20" x14ac:dyDescent="0.2">
      <c r="A92" s="83"/>
      <c r="B92" s="410" t="s">
        <v>116</v>
      </c>
      <c r="C92" s="420"/>
      <c r="D92" s="420"/>
      <c r="E92" s="420"/>
      <c r="F92" s="420"/>
      <c r="G92" s="420"/>
      <c r="H92" s="420"/>
      <c r="I92" s="420"/>
      <c r="J92" s="420"/>
      <c r="K92" s="420"/>
      <c r="L92" s="420"/>
      <c r="M92" s="420"/>
      <c r="N92" s="420"/>
      <c r="O92" s="420"/>
      <c r="P92" s="411"/>
      <c r="Q92" s="63"/>
      <c r="R92" s="64"/>
      <c r="S92" s="64"/>
      <c r="T92" s="64"/>
    </row>
    <row r="93" spans="1:20" x14ac:dyDescent="0.2">
      <c r="A93" s="83"/>
      <c r="B93" s="410" t="s">
        <v>298</v>
      </c>
      <c r="C93" s="420"/>
      <c r="D93" s="411"/>
      <c r="E93" s="405"/>
      <c r="F93" s="406"/>
      <c r="G93" s="410" t="s">
        <v>299</v>
      </c>
      <c r="H93" s="420"/>
      <c r="I93" s="411"/>
      <c r="J93" s="454"/>
      <c r="K93" s="455"/>
      <c r="L93" s="456"/>
      <c r="M93" s="414" t="s">
        <v>300</v>
      </c>
      <c r="N93" s="415"/>
      <c r="O93" s="457"/>
      <c r="P93" s="458"/>
      <c r="Q93" s="63"/>
      <c r="R93" s="64"/>
    </row>
    <row r="94" spans="1:20" ht="13.5" thickBot="1" x14ac:dyDescent="0.25">
      <c r="A94" s="83"/>
      <c r="B94" s="78" t="s">
        <v>153</v>
      </c>
      <c r="C94" s="492"/>
      <c r="D94" s="493"/>
      <c r="E94" s="494" t="s">
        <v>301</v>
      </c>
      <c r="F94" s="495"/>
      <c r="G94" s="496"/>
      <c r="H94" s="497"/>
      <c r="I94" s="498"/>
      <c r="J94" s="414" t="s">
        <v>302</v>
      </c>
      <c r="K94" s="415"/>
      <c r="L94" s="454"/>
      <c r="M94" s="455"/>
      <c r="N94" s="455"/>
      <c r="O94" s="455"/>
      <c r="P94" s="456"/>
      <c r="Q94" s="63"/>
      <c r="R94" s="64"/>
    </row>
    <row r="95" spans="1:20" x14ac:dyDescent="0.2">
      <c r="A95" s="83"/>
      <c r="B95" s="499" t="s">
        <v>126</v>
      </c>
      <c r="C95" s="500"/>
      <c r="D95" s="500"/>
      <c r="E95" s="500"/>
      <c r="F95" s="500"/>
      <c r="G95" s="500"/>
      <c r="H95" s="500"/>
      <c r="I95" s="501"/>
      <c r="J95" s="505"/>
      <c r="K95" s="506"/>
      <c r="L95" s="506"/>
      <c r="M95" s="506"/>
      <c r="N95" s="506"/>
      <c r="O95" s="506"/>
      <c r="P95" s="507"/>
      <c r="Q95" s="63"/>
      <c r="R95" s="64"/>
    </row>
    <row r="96" spans="1:20" x14ac:dyDescent="0.2">
      <c r="A96" s="83"/>
      <c r="B96" s="502"/>
      <c r="C96" s="503"/>
      <c r="D96" s="503"/>
      <c r="E96" s="503"/>
      <c r="F96" s="503"/>
      <c r="G96" s="503"/>
      <c r="H96" s="503"/>
      <c r="I96" s="504"/>
      <c r="J96" s="508"/>
      <c r="K96" s="509"/>
      <c r="L96" s="509"/>
      <c r="M96" s="509"/>
      <c r="N96" s="509"/>
      <c r="O96" s="509"/>
      <c r="P96" s="510"/>
      <c r="Q96" s="63"/>
      <c r="R96" s="64"/>
    </row>
    <row r="97" spans="1:18" x14ac:dyDescent="0.2">
      <c r="A97" s="83"/>
      <c r="B97" s="514" t="s">
        <v>127</v>
      </c>
      <c r="C97" s="515"/>
      <c r="D97" s="515"/>
      <c r="E97" s="515"/>
      <c r="F97" s="515"/>
      <c r="G97" s="515"/>
      <c r="H97" s="515"/>
      <c r="I97" s="516"/>
      <c r="J97" s="508"/>
      <c r="K97" s="509"/>
      <c r="L97" s="509"/>
      <c r="M97" s="509"/>
      <c r="N97" s="509"/>
      <c r="O97" s="509"/>
      <c r="P97" s="510"/>
      <c r="Q97" s="63"/>
      <c r="R97" s="64"/>
    </row>
    <row r="98" spans="1:18" ht="13.5" thickBot="1" x14ac:dyDescent="0.25">
      <c r="A98" s="83"/>
      <c r="B98" s="517"/>
      <c r="C98" s="518"/>
      <c r="D98" s="518"/>
      <c r="E98" s="518"/>
      <c r="F98" s="518"/>
      <c r="G98" s="518"/>
      <c r="H98" s="518"/>
      <c r="I98" s="519"/>
      <c r="J98" s="511"/>
      <c r="K98" s="512"/>
      <c r="L98" s="512"/>
      <c r="M98" s="512"/>
      <c r="N98" s="512"/>
      <c r="O98" s="512"/>
      <c r="P98" s="513"/>
      <c r="Q98" s="63"/>
      <c r="R98" s="64"/>
    </row>
    <row r="99" spans="1:18" x14ac:dyDescent="0.2">
      <c r="A99" s="83"/>
      <c r="B99" s="480" t="s">
        <v>10</v>
      </c>
      <c r="C99" s="481"/>
      <c r="D99" s="481"/>
      <c r="E99" s="481"/>
      <c r="F99" s="481"/>
      <c r="G99" s="481"/>
      <c r="H99" s="481"/>
      <c r="I99" s="482"/>
      <c r="J99" s="79">
        <v>1</v>
      </c>
      <c r="K99" s="483"/>
      <c r="L99" s="484"/>
      <c r="M99" s="484"/>
      <c r="N99" s="484"/>
      <c r="O99" s="484"/>
      <c r="P99" s="485"/>
      <c r="Q99" s="63"/>
      <c r="R99" s="64"/>
    </row>
    <row r="100" spans="1:18" x14ac:dyDescent="0.2">
      <c r="A100" s="83"/>
      <c r="B100" s="486" t="s">
        <v>276</v>
      </c>
      <c r="C100" s="487"/>
      <c r="D100" s="487"/>
      <c r="E100" s="487"/>
      <c r="F100" s="487"/>
      <c r="G100" s="487"/>
      <c r="H100" s="487"/>
      <c r="I100" s="488"/>
      <c r="J100" s="80">
        <v>2</v>
      </c>
      <c r="K100" s="454"/>
      <c r="L100" s="455"/>
      <c r="M100" s="455"/>
      <c r="N100" s="455"/>
      <c r="O100" s="455"/>
      <c r="P100" s="456"/>
      <c r="Q100" s="63"/>
      <c r="R100" s="64"/>
    </row>
    <row r="101" spans="1:18" x14ac:dyDescent="0.2">
      <c r="A101" s="83"/>
      <c r="B101" s="489" t="s">
        <v>234</v>
      </c>
      <c r="C101" s="490"/>
      <c r="D101" s="490"/>
      <c r="E101" s="490"/>
      <c r="F101" s="490"/>
      <c r="G101" s="490"/>
      <c r="H101" s="490"/>
      <c r="I101" s="491"/>
      <c r="J101" s="80">
        <v>3</v>
      </c>
      <c r="K101" s="454"/>
      <c r="L101" s="455"/>
      <c r="M101" s="455"/>
      <c r="N101" s="455"/>
      <c r="O101" s="455"/>
      <c r="P101" s="456"/>
      <c r="Q101" s="63"/>
      <c r="R101" s="64"/>
    </row>
    <row r="102" spans="1:18" x14ac:dyDescent="0.2">
      <c r="A102" s="83"/>
      <c r="B102" s="468"/>
      <c r="C102" s="468"/>
      <c r="D102" s="468"/>
      <c r="E102" s="468"/>
      <c r="F102" s="468"/>
      <c r="G102" s="468"/>
      <c r="H102" s="468"/>
      <c r="I102" s="468"/>
      <c r="J102" s="468"/>
      <c r="K102" s="468"/>
      <c r="L102" s="468"/>
      <c r="M102" s="468"/>
      <c r="N102" s="468"/>
      <c r="O102" s="468"/>
      <c r="P102" s="468"/>
      <c r="Q102" s="63"/>
      <c r="R102" s="64"/>
    </row>
    <row r="103" spans="1:18" ht="12" customHeight="1" x14ac:dyDescent="0.2">
      <c r="A103" s="83"/>
      <c r="B103" s="469" t="s">
        <v>84</v>
      </c>
      <c r="C103" s="471" t="str">
        <f>IF(CODE(B103)=89,"This candidate would like to receive Special","This candidate would not like to receive Special")</f>
        <v>This candidate would like to receive Special</v>
      </c>
      <c r="D103" s="472"/>
      <c r="E103" s="472"/>
      <c r="F103" s="472"/>
      <c r="G103" s="472"/>
      <c r="H103" s="472"/>
      <c r="I103" s="473"/>
      <c r="J103" s="81"/>
      <c r="K103" s="474" t="s">
        <v>294</v>
      </c>
      <c r="L103" s="474"/>
      <c r="M103" s="475"/>
      <c r="N103" s="51" t="str">
        <f>IF($P$33&gt;=3,3,"")</f>
        <v/>
      </c>
      <c r="O103" s="62" t="s">
        <v>52</v>
      </c>
      <c r="P103" s="51" t="str">
        <f>IF($P$33&gt;=3,$P$33,"")</f>
        <v/>
      </c>
      <c r="Q103" s="63"/>
      <c r="R103" s="64"/>
    </row>
    <row r="104" spans="1:18" ht="12" customHeight="1" x14ac:dyDescent="0.2">
      <c r="A104" s="83"/>
      <c r="B104" s="470"/>
      <c r="C104" s="476" t="str">
        <f>IF(CODE(B103)=89,"Announcements and Bulletins from RAD Canada","Announcements and Bulletins from RAD Canada")</f>
        <v>Announcements and Bulletins from RAD Canada</v>
      </c>
      <c r="D104" s="477"/>
      <c r="E104" s="477"/>
      <c r="F104" s="477"/>
      <c r="G104" s="477"/>
      <c r="H104" s="477"/>
      <c r="I104" s="478"/>
      <c r="J104" s="479"/>
      <c r="K104" s="400"/>
      <c r="L104" s="400"/>
      <c r="M104" s="400"/>
      <c r="N104" s="400"/>
      <c r="O104" s="400"/>
      <c r="P104" s="400"/>
      <c r="Q104" s="63"/>
      <c r="R104" s="64"/>
    </row>
    <row r="105" spans="1:18" x14ac:dyDescent="0.2">
      <c r="A105" s="83"/>
      <c r="B105" s="400"/>
      <c r="C105" s="400"/>
      <c r="D105" s="400"/>
      <c r="E105" s="400"/>
      <c r="F105" s="400"/>
      <c r="G105" s="400"/>
      <c r="H105" s="400"/>
      <c r="I105" s="400"/>
      <c r="J105" s="400"/>
      <c r="K105" s="400"/>
      <c r="L105" s="400"/>
      <c r="M105" s="400"/>
      <c r="N105" s="400"/>
      <c r="O105" s="400"/>
      <c r="P105" s="400"/>
      <c r="Q105" s="63"/>
      <c r="R105" s="64"/>
    </row>
    <row r="106" spans="1:18" x14ac:dyDescent="0.2">
      <c r="A106" s="83"/>
      <c r="B106" s="62"/>
      <c r="C106" s="62"/>
      <c r="D106" s="62"/>
      <c r="E106" s="62"/>
      <c r="F106" s="62"/>
      <c r="G106" s="62"/>
      <c r="H106" s="62"/>
      <c r="I106" s="62"/>
      <c r="J106" s="62"/>
      <c r="K106" s="62"/>
      <c r="L106" s="62"/>
      <c r="M106" s="62"/>
      <c r="N106" s="62"/>
      <c r="O106" s="62"/>
      <c r="P106" s="62"/>
      <c r="Q106" s="63"/>
      <c r="R106" s="64"/>
    </row>
    <row r="107" spans="1:18" x14ac:dyDescent="0.2">
      <c r="A107" s="83"/>
      <c r="B107" s="401" t="s">
        <v>295</v>
      </c>
      <c r="C107" s="402"/>
      <c r="D107" s="402"/>
      <c r="E107" s="402"/>
      <c r="F107" s="402"/>
      <c r="G107" s="402"/>
      <c r="H107" s="62"/>
      <c r="I107" s="62"/>
      <c r="J107" s="62"/>
      <c r="K107" s="62"/>
      <c r="L107" s="62"/>
      <c r="M107" s="62"/>
      <c r="N107" s="62"/>
      <c r="O107" s="62"/>
      <c r="P107" s="62"/>
      <c r="Q107" s="63"/>
      <c r="R107" s="64"/>
    </row>
    <row r="108" spans="1:18" ht="15.75" x14ac:dyDescent="0.25">
      <c r="A108" s="83"/>
      <c r="B108" s="402"/>
      <c r="C108" s="402"/>
      <c r="D108" s="402"/>
      <c r="E108" s="402"/>
      <c r="F108" s="402"/>
      <c r="G108" s="402"/>
      <c r="H108" s="82"/>
      <c r="I108" s="403"/>
      <c r="J108" s="403"/>
      <c r="K108" s="403"/>
      <c r="L108" s="403"/>
      <c r="M108" s="403"/>
      <c r="N108" s="403"/>
      <c r="O108" s="403"/>
      <c r="P108" s="403"/>
      <c r="Q108" s="63"/>
      <c r="R108" s="64"/>
    </row>
    <row r="109" spans="1:18" x14ac:dyDescent="0.2">
      <c r="A109" s="83"/>
      <c r="B109" s="400"/>
      <c r="C109" s="400"/>
      <c r="D109" s="400"/>
      <c r="E109" s="400"/>
      <c r="F109" s="400"/>
      <c r="G109" s="400"/>
      <c r="H109" s="400"/>
      <c r="I109" s="400"/>
      <c r="J109" s="400"/>
      <c r="K109" s="400"/>
      <c r="L109" s="400"/>
      <c r="M109" s="403"/>
      <c r="N109" s="403"/>
      <c r="O109" s="403"/>
      <c r="P109" s="403"/>
      <c r="Q109" s="63"/>
      <c r="R109" s="64"/>
    </row>
    <row r="110" spans="1:18" x14ac:dyDescent="0.2">
      <c r="A110" s="83"/>
      <c r="B110" s="404" t="s">
        <v>260</v>
      </c>
      <c r="C110" s="404"/>
      <c r="D110" s="404"/>
      <c r="E110" s="404"/>
      <c r="F110" s="400"/>
      <c r="G110" s="400"/>
      <c r="H110" s="400"/>
      <c r="I110" s="400"/>
      <c r="J110" s="400"/>
      <c r="K110" s="400"/>
      <c r="L110" s="400"/>
      <c r="M110" s="403"/>
      <c r="N110" s="403"/>
      <c r="O110" s="403"/>
      <c r="P110" s="403"/>
      <c r="Q110" s="63"/>
      <c r="R110" s="64"/>
    </row>
    <row r="111" spans="1:18" x14ac:dyDescent="0.2">
      <c r="A111" s="83"/>
      <c r="B111" s="69"/>
      <c r="C111" s="324" t="s">
        <v>75</v>
      </c>
      <c r="D111" s="408"/>
      <c r="E111" s="409"/>
      <c r="F111" s="400"/>
      <c r="G111" s="400"/>
      <c r="H111" s="400"/>
      <c r="I111" s="400"/>
      <c r="J111" s="400"/>
      <c r="K111" s="400"/>
      <c r="L111" s="400"/>
      <c r="M111" s="70"/>
      <c r="N111" s="70"/>
      <c r="O111" s="70"/>
      <c r="P111" s="70"/>
      <c r="Q111" s="63"/>
      <c r="R111" s="64"/>
    </row>
    <row r="112" spans="1:18" x14ac:dyDescent="0.2">
      <c r="A112" s="83"/>
      <c r="B112" s="71"/>
      <c r="C112" s="324" t="s">
        <v>128</v>
      </c>
      <c r="D112" s="408"/>
      <c r="E112" s="409"/>
      <c r="F112" s="400"/>
      <c r="G112" s="400"/>
      <c r="H112" s="400"/>
      <c r="I112" s="400"/>
      <c r="J112" s="400"/>
      <c r="K112" s="400"/>
      <c r="L112" s="400"/>
      <c r="M112" s="407" t="s">
        <v>256</v>
      </c>
      <c r="N112" s="407"/>
      <c r="O112" s="407"/>
      <c r="P112" s="407"/>
      <c r="Q112" s="63"/>
      <c r="R112" s="64"/>
    </row>
    <row r="113" spans="1:20" x14ac:dyDescent="0.2">
      <c r="A113" s="83"/>
      <c r="B113" s="56"/>
      <c r="C113" s="324" t="s">
        <v>193</v>
      </c>
      <c r="D113" s="408"/>
      <c r="E113" s="409"/>
      <c r="F113" s="400"/>
      <c r="G113" s="400"/>
      <c r="H113" s="400"/>
      <c r="I113" s="400"/>
      <c r="J113" s="400"/>
      <c r="K113" s="400"/>
      <c r="L113" s="400"/>
      <c r="M113" s="407"/>
      <c r="N113" s="407"/>
      <c r="O113" s="407"/>
      <c r="P113" s="407"/>
      <c r="Q113" s="63"/>
      <c r="R113" s="64"/>
    </row>
    <row r="114" spans="1:20" x14ac:dyDescent="0.2">
      <c r="A114" s="83"/>
      <c r="B114" s="520"/>
      <c r="C114" s="520"/>
      <c r="D114" s="520"/>
      <c r="E114" s="520"/>
      <c r="F114" s="520"/>
      <c r="G114" s="520"/>
      <c r="H114" s="520"/>
      <c r="I114" s="520"/>
      <c r="J114" s="520"/>
      <c r="K114" s="520"/>
      <c r="L114" s="520"/>
      <c r="M114" s="520"/>
      <c r="N114" s="520"/>
      <c r="O114" s="520"/>
      <c r="P114" s="520"/>
      <c r="Q114" s="63"/>
      <c r="R114" s="64"/>
    </row>
    <row r="115" spans="1:20" x14ac:dyDescent="0.2">
      <c r="A115" s="83"/>
      <c r="B115" s="432" t="s">
        <v>117</v>
      </c>
      <c r="C115" s="433"/>
      <c r="D115" s="434"/>
      <c r="E115" s="442" t="str">
        <f>IF(AND($P$33&gt;=4,NOT(ISBLANK($E$10))),$E$10,"")</f>
        <v/>
      </c>
      <c r="F115" s="443"/>
      <c r="G115" s="444"/>
      <c r="H115" s="414" t="s">
        <v>124</v>
      </c>
      <c r="I115" s="415"/>
      <c r="J115" s="442" t="str">
        <f>IF(AND($P$33&gt;=4,NOT(ISBLANK($J$10))),$J$10,"")</f>
        <v/>
      </c>
      <c r="K115" s="443"/>
      <c r="L115" s="444"/>
      <c r="M115" s="414" t="s">
        <v>118</v>
      </c>
      <c r="N115" s="415"/>
      <c r="O115" s="430" t="str">
        <f>IF(AND($P$33&gt;=4,NOT(ISBLANK($O$10))),$O$10,"")</f>
        <v/>
      </c>
      <c r="P115" s="521"/>
      <c r="Q115" s="63"/>
      <c r="R115" s="545" t="s">
        <v>307</v>
      </c>
      <c r="S115" s="546"/>
      <c r="T115" s="547"/>
    </row>
    <row r="116" spans="1:20" x14ac:dyDescent="0.2">
      <c r="A116" s="83"/>
      <c r="B116" s="432" t="s">
        <v>240</v>
      </c>
      <c r="C116" s="433"/>
      <c r="D116" s="434"/>
      <c r="E116" s="435" t="str">
        <f>IF(NOT($N138=4),"",IF(ISERROR(LOOKUP(4,'Teacher Summary Sheet'!$M$19:$M$181)),"",IF(VLOOKUP(4,'Teacher Summary Sheet'!$M$19:$R$181,2)=0,"",VLOOKUP(4,'Teacher Summary Sheet'!$M$19:$R$181,2))))</f>
        <v/>
      </c>
      <c r="F116" s="436"/>
      <c r="G116" s="437"/>
      <c r="H116" s="438" t="s">
        <v>119</v>
      </c>
      <c r="I116" s="439"/>
      <c r="J116" s="102" t="str">
        <f>IF(NOT($N138=4),"",IF(ISERROR(LOOKUP(4,'Teacher Summary Sheet'!$M$19:$M$181)),"",IF(VLOOKUP(4,'Teacher Summary Sheet'!$M$19:$R$181,6)=0,"",VLOOKUP(4,'Teacher Summary Sheet'!$M$19:$R$181,6))))</f>
        <v/>
      </c>
      <c r="K116" s="414" t="s">
        <v>179</v>
      </c>
      <c r="L116" s="419"/>
      <c r="M116" s="415"/>
      <c r="N116" s="412" t="str">
        <f>IF(NOT($N138=4),"",IF(ISERROR(LOOKUP(4,'Teacher Summary Sheet'!$M$19:$M$181)),"",IF('Teacher Summary Sheet'!$F$31=0,"",'Teacher Summary Sheet'!$F$31)))</f>
        <v/>
      </c>
      <c r="O116" s="440"/>
      <c r="P116" s="413"/>
      <c r="Q116" s="63"/>
      <c r="R116" s="548"/>
      <c r="S116" s="549"/>
      <c r="T116" s="550"/>
    </row>
    <row r="117" spans="1:20" ht="14.25" x14ac:dyDescent="0.2">
      <c r="A117" s="83"/>
      <c r="B117" s="410" t="s">
        <v>241</v>
      </c>
      <c r="C117" s="420"/>
      <c r="D117" s="411"/>
      <c r="E117" s="421" t="str">
        <f>IF(NOT($N138=4),"",IF(ISERROR(LOOKUP(4,'Teacher Summary Sheet'!$M$19:$M$181)),"",IF(VLOOKUP(4,'Teacher Summary Sheet'!$M$19:$R$181,3)=0,"",VLOOKUP(4,'Teacher Summary Sheet'!$M$19:$R$181,3))))</f>
        <v/>
      </c>
      <c r="F117" s="422"/>
      <c r="G117" s="422"/>
      <c r="H117" s="422"/>
      <c r="I117" s="423"/>
      <c r="J117" s="414" t="s">
        <v>124</v>
      </c>
      <c r="K117" s="415"/>
      <c r="L117" s="424" t="str">
        <f>IF(NOT($N138=4),"",IF(ISERROR(LOOKUP(4,'Teacher Summary Sheet'!$M$19:$M$181)),"",IF(VLOOKUP(4,'Teacher Summary Sheet'!$M$19:$R$181,4)=0,"",VLOOKUP(4,'Teacher Summary Sheet'!$M$19:$R$181,4))))</f>
        <v/>
      </c>
      <c r="M117" s="425"/>
      <c r="N117" s="425"/>
      <c r="O117" s="425"/>
      <c r="P117" s="426"/>
      <c r="Q117" s="63"/>
      <c r="R117" s="125" t="str">
        <f>IF(NOT(N138=4),"",IF(COUNTIF(R119:R125,"P")=7,"P","O"))</f>
        <v/>
      </c>
      <c r="S117" s="110" t="str">
        <f>IF(NOT(N138=4),"",IF(COUNTIF(R119:R125,"P")=7,"Complete","Incomplete"))</f>
        <v/>
      </c>
      <c r="T117" s="111"/>
    </row>
    <row r="118" spans="1:20" x14ac:dyDescent="0.2">
      <c r="A118" s="83"/>
      <c r="B118" s="410" t="s">
        <v>120</v>
      </c>
      <c r="C118" s="420"/>
      <c r="D118" s="411"/>
      <c r="E118" s="427"/>
      <c r="F118" s="428"/>
      <c r="G118" s="428"/>
      <c r="H118" s="428"/>
      <c r="I118" s="428"/>
      <c r="J118" s="429"/>
      <c r="K118" s="62" t="s">
        <v>121</v>
      </c>
      <c r="L118" s="427"/>
      <c r="M118" s="428"/>
      <c r="N118" s="428"/>
      <c r="O118" s="428"/>
      <c r="P118" s="429"/>
      <c r="Q118" s="63"/>
    </row>
    <row r="119" spans="1:20" ht="14.25" x14ac:dyDescent="0.2">
      <c r="A119" s="83"/>
      <c r="B119" s="410" t="s">
        <v>196</v>
      </c>
      <c r="C119" s="420"/>
      <c r="D119" s="411"/>
      <c r="E119" s="427"/>
      <c r="F119" s="428"/>
      <c r="G119" s="428"/>
      <c r="H119" s="428"/>
      <c r="I119" s="429"/>
      <c r="J119" s="73" t="s">
        <v>197</v>
      </c>
      <c r="K119" s="405"/>
      <c r="L119" s="406"/>
      <c r="M119" s="414" t="s">
        <v>212</v>
      </c>
      <c r="N119" s="415"/>
      <c r="O119" s="405"/>
      <c r="P119" s="406"/>
      <c r="Q119" s="63"/>
      <c r="R119" s="124" t="str">
        <f>IF(NOT(N138=4),"",IF(OR(COUNTBLANK(E117:E117)=1,COUNTBLANK(L117:L117)=1),"O","P"))</f>
        <v/>
      </c>
      <c r="S119" s="108" t="str">
        <f>IF(NOT(N138=4),"","Candidate Name")</f>
        <v/>
      </c>
      <c r="T119" s="64"/>
    </row>
    <row r="120" spans="1:20" ht="14.25" x14ac:dyDescent="0.2">
      <c r="A120" s="83"/>
      <c r="B120" s="410" t="s">
        <v>198</v>
      </c>
      <c r="C120" s="420"/>
      <c r="D120" s="411"/>
      <c r="E120" s="454"/>
      <c r="F120" s="455"/>
      <c r="G120" s="455"/>
      <c r="H120" s="456"/>
      <c r="I120" s="74" t="s">
        <v>199</v>
      </c>
      <c r="J120" s="427"/>
      <c r="K120" s="428"/>
      <c r="L120" s="428"/>
      <c r="M120" s="428"/>
      <c r="N120" s="428"/>
      <c r="O120" s="428"/>
      <c r="P120" s="429"/>
      <c r="Q120" s="63"/>
      <c r="R120" s="124" t="str">
        <f>IF(NOT(N138=4),"",IF(COUNTBLANK(E116:E116)=1,"O","P"))</f>
        <v/>
      </c>
      <c r="S120" s="108" t="str">
        <f>IF(NOT(N138=4),"","Candidate ID")</f>
        <v/>
      </c>
      <c r="T120" s="64"/>
    </row>
    <row r="121" spans="1:20" ht="14.25" x14ac:dyDescent="0.2">
      <c r="A121" s="83"/>
      <c r="B121" s="410" t="s">
        <v>227</v>
      </c>
      <c r="C121" s="420"/>
      <c r="D121" s="411"/>
      <c r="E121" s="80" t="s">
        <v>218</v>
      </c>
      <c r="F121" s="405"/>
      <c r="G121" s="448"/>
      <c r="H121" s="75" t="s">
        <v>138</v>
      </c>
      <c r="I121" s="449"/>
      <c r="J121" s="450"/>
      <c r="K121" s="76" t="s">
        <v>139</v>
      </c>
      <c r="L121" s="451"/>
      <c r="M121" s="452"/>
      <c r="N121" s="76" t="s">
        <v>228</v>
      </c>
      <c r="O121" s="453" t="str">
        <f ca="1">IF(OR(ISBLANK(L121),ISBLANK(I121),ISBLANK(F121),COUNTBLANK(J116:J116)=1),"",IF(DATEDIF(DATE(L121,VLOOKUP(I121,data!$T$2:$U$13,2,FALSE),F121),IF(AND(TODAY()&lt;data!$AJ$12,TODAY()&gt;data!$AI$12),data!$AI$3,data!$AJ$3),"Y")&gt;=data!$AC$6,YEAR(TODAY())-L121,data!$AD$3))</f>
        <v/>
      </c>
      <c r="P121" s="413"/>
      <c r="Q121" s="63"/>
      <c r="R121" s="124" t="str">
        <f>IF(NOT(N138=4),"",IF(OR(ISBLANK(E118),ISBLANK(L118),ISBLANK(K119),ISBLANK(O119)),"O","P"))</f>
        <v/>
      </c>
      <c r="S121" s="108" t="str">
        <f>IF(NOT(N138=4),"","Address")</f>
        <v/>
      </c>
      <c r="T121" s="64"/>
    </row>
    <row r="122" spans="1:20" ht="15" thickBot="1" x14ac:dyDescent="0.25">
      <c r="A122" s="83"/>
      <c r="B122" s="410" t="s">
        <v>214</v>
      </c>
      <c r="C122" s="411"/>
      <c r="D122" s="412" t="str">
        <f>IF(NOT($N138=4),"",IF(ISERROR(LOOKUP(4,'Teacher Summary Sheet'!$M$19:$M$181)),"",IF(VLOOKUP(4,'Teacher Summary Sheet'!$M$19:$R$181,5)=0,"",VLOOKUP(4,'Teacher Summary Sheet'!$M$19:$R$181,5))))</f>
        <v/>
      </c>
      <c r="E122" s="413"/>
      <c r="F122" s="414" t="s">
        <v>319</v>
      </c>
      <c r="G122" s="415"/>
      <c r="H122" s="416"/>
      <c r="I122" s="417"/>
      <c r="J122" s="418"/>
      <c r="K122" s="414" t="s">
        <v>320</v>
      </c>
      <c r="L122" s="419"/>
      <c r="M122" s="419"/>
      <c r="N122" s="415"/>
      <c r="O122" s="405" t="s">
        <v>268</v>
      </c>
      <c r="P122" s="406"/>
      <c r="Q122" s="63"/>
      <c r="R122" s="124" t="str">
        <f>IF(NOT(N138=4),"",IF(OR(ISBLANK(F121),ISBLANK(I121),ISBLANK(L121)),"O","P"))</f>
        <v/>
      </c>
      <c r="S122" s="108" t="str">
        <f>IF(NOT(N138=4),"","Date of Birth")</f>
        <v/>
      </c>
      <c r="T122" s="64"/>
    </row>
    <row r="123" spans="1:20" ht="14.25" x14ac:dyDescent="0.2">
      <c r="A123" s="83"/>
      <c r="B123" s="522" t="s">
        <v>297</v>
      </c>
      <c r="C123" s="463"/>
      <c r="D123" s="463"/>
      <c r="E123" s="463"/>
      <c r="F123" s="463"/>
      <c r="G123" s="463"/>
      <c r="H123" s="463"/>
      <c r="I123" s="463"/>
      <c r="J123" s="463"/>
      <c r="K123" s="463"/>
      <c r="L123" s="463"/>
      <c r="M123" s="463"/>
      <c r="N123" s="463"/>
      <c r="O123" s="463"/>
      <c r="P123" s="464"/>
      <c r="Q123" s="63"/>
      <c r="R123" s="124" t="str">
        <f>IF(NOT(N138=4),"",IF(COUNTBLANK(J116:J116)=1,"O","P"))</f>
        <v/>
      </c>
      <c r="S123" s="112" t="str">
        <f>IF(NOT(N138=4),"","Exam Level")</f>
        <v/>
      </c>
      <c r="T123" s="64"/>
    </row>
    <row r="124" spans="1:20" ht="14.25" x14ac:dyDescent="0.2">
      <c r="A124" s="83"/>
      <c r="B124" s="465"/>
      <c r="C124" s="466"/>
      <c r="D124" s="466"/>
      <c r="E124" s="466"/>
      <c r="F124" s="466"/>
      <c r="G124" s="466"/>
      <c r="H124" s="466"/>
      <c r="I124" s="466"/>
      <c r="J124" s="466"/>
      <c r="K124" s="466"/>
      <c r="L124" s="466"/>
      <c r="M124" s="466"/>
      <c r="N124" s="466"/>
      <c r="O124" s="466"/>
      <c r="P124" s="467"/>
      <c r="Q124" s="63"/>
      <c r="R124" s="124" t="str">
        <f>IF(NOT(N138=4),"",IF(COUNTBLANK(D122:D122)=1,"O","P"))</f>
        <v/>
      </c>
      <c r="S124" s="109" t="str">
        <f>IF(NOT(N138=4),"","Gender")</f>
        <v/>
      </c>
      <c r="T124" s="64"/>
    </row>
    <row r="125" spans="1:20" ht="14.25" x14ac:dyDescent="0.2">
      <c r="A125" s="83"/>
      <c r="B125" s="432" t="s">
        <v>298</v>
      </c>
      <c r="C125" s="433"/>
      <c r="D125" s="434"/>
      <c r="E125" s="405"/>
      <c r="F125" s="406"/>
      <c r="G125" s="432" t="s">
        <v>299</v>
      </c>
      <c r="H125" s="433"/>
      <c r="I125" s="434"/>
      <c r="J125" s="405"/>
      <c r="K125" s="448"/>
      <c r="L125" s="406"/>
      <c r="M125" s="414" t="s">
        <v>300</v>
      </c>
      <c r="N125" s="415"/>
      <c r="O125" s="457"/>
      <c r="P125" s="458"/>
      <c r="Q125" s="63"/>
      <c r="R125" s="124" t="str">
        <f>IF(NOT(N138=4),"",IF(ISBLANK(H122),"O","P"))</f>
        <v/>
      </c>
      <c r="S125" s="109" t="str">
        <f>IF(NOT(N138=4),"","Height")</f>
        <v/>
      </c>
      <c r="T125" s="64"/>
    </row>
    <row r="126" spans="1:20" x14ac:dyDescent="0.2">
      <c r="A126" s="83"/>
      <c r="B126" s="77" t="s">
        <v>153</v>
      </c>
      <c r="C126" s="405"/>
      <c r="D126" s="406"/>
      <c r="E126" s="414" t="s">
        <v>301</v>
      </c>
      <c r="F126" s="415"/>
      <c r="G126" s="459"/>
      <c r="H126" s="460"/>
      <c r="I126" s="461"/>
      <c r="J126" s="414" t="s">
        <v>302</v>
      </c>
      <c r="K126" s="415"/>
      <c r="L126" s="454"/>
      <c r="M126" s="455"/>
      <c r="N126" s="455"/>
      <c r="O126" s="455"/>
      <c r="P126" s="456"/>
      <c r="Q126" s="63"/>
      <c r="R126" s="64"/>
      <c r="S126" s="64"/>
      <c r="T126" s="64"/>
    </row>
    <row r="127" spans="1:20" x14ac:dyDescent="0.2">
      <c r="A127" s="83"/>
      <c r="B127" s="410" t="s">
        <v>116</v>
      </c>
      <c r="C127" s="420"/>
      <c r="D127" s="420"/>
      <c r="E127" s="420"/>
      <c r="F127" s="420"/>
      <c r="G127" s="420"/>
      <c r="H127" s="420"/>
      <c r="I127" s="420"/>
      <c r="J127" s="420"/>
      <c r="K127" s="420"/>
      <c r="L127" s="420"/>
      <c r="M127" s="420"/>
      <c r="N127" s="420"/>
      <c r="O127" s="420"/>
      <c r="P127" s="411"/>
      <c r="Q127" s="63"/>
      <c r="R127" s="64"/>
      <c r="S127" s="64"/>
      <c r="T127" s="64"/>
    </row>
    <row r="128" spans="1:20" x14ac:dyDescent="0.2">
      <c r="A128" s="83"/>
      <c r="B128" s="410" t="s">
        <v>298</v>
      </c>
      <c r="C128" s="420"/>
      <c r="D128" s="411"/>
      <c r="E128" s="405"/>
      <c r="F128" s="406"/>
      <c r="G128" s="410" t="s">
        <v>299</v>
      </c>
      <c r="H128" s="420"/>
      <c r="I128" s="411"/>
      <c r="J128" s="454"/>
      <c r="K128" s="455"/>
      <c r="L128" s="456"/>
      <c r="M128" s="414" t="s">
        <v>300</v>
      </c>
      <c r="N128" s="415"/>
      <c r="O128" s="457"/>
      <c r="P128" s="458"/>
      <c r="Q128" s="63"/>
      <c r="R128" s="64"/>
    </row>
    <row r="129" spans="1:18" ht="13.5" thickBot="1" x14ac:dyDescent="0.25">
      <c r="A129" s="83"/>
      <c r="B129" s="78" t="s">
        <v>153</v>
      </c>
      <c r="C129" s="492"/>
      <c r="D129" s="493"/>
      <c r="E129" s="494" t="s">
        <v>301</v>
      </c>
      <c r="F129" s="495"/>
      <c r="G129" s="496"/>
      <c r="H129" s="497"/>
      <c r="I129" s="498"/>
      <c r="J129" s="414" t="s">
        <v>302</v>
      </c>
      <c r="K129" s="415"/>
      <c r="L129" s="454"/>
      <c r="M129" s="455"/>
      <c r="N129" s="455"/>
      <c r="O129" s="455"/>
      <c r="P129" s="456"/>
      <c r="Q129" s="63"/>
      <c r="R129" s="64"/>
    </row>
    <row r="130" spans="1:18" x14ac:dyDescent="0.2">
      <c r="A130" s="83"/>
      <c r="B130" s="499" t="s">
        <v>126</v>
      </c>
      <c r="C130" s="500"/>
      <c r="D130" s="500"/>
      <c r="E130" s="500"/>
      <c r="F130" s="500"/>
      <c r="G130" s="500"/>
      <c r="H130" s="500"/>
      <c r="I130" s="501"/>
      <c r="J130" s="505"/>
      <c r="K130" s="506"/>
      <c r="L130" s="506"/>
      <c r="M130" s="506"/>
      <c r="N130" s="506"/>
      <c r="O130" s="506"/>
      <c r="P130" s="507"/>
      <c r="Q130" s="63"/>
      <c r="R130" s="64"/>
    </row>
    <row r="131" spans="1:18" x14ac:dyDescent="0.2">
      <c r="A131" s="83"/>
      <c r="B131" s="502"/>
      <c r="C131" s="503"/>
      <c r="D131" s="503"/>
      <c r="E131" s="503"/>
      <c r="F131" s="503"/>
      <c r="G131" s="503"/>
      <c r="H131" s="503"/>
      <c r="I131" s="504"/>
      <c r="J131" s="508"/>
      <c r="K131" s="509"/>
      <c r="L131" s="509"/>
      <c r="M131" s="509"/>
      <c r="N131" s="509"/>
      <c r="O131" s="509"/>
      <c r="P131" s="510"/>
      <c r="Q131" s="63"/>
      <c r="R131" s="64"/>
    </row>
    <row r="132" spans="1:18" x14ac:dyDescent="0.2">
      <c r="A132" s="83"/>
      <c r="B132" s="514" t="s">
        <v>127</v>
      </c>
      <c r="C132" s="515"/>
      <c r="D132" s="515"/>
      <c r="E132" s="515"/>
      <c r="F132" s="515"/>
      <c r="G132" s="515"/>
      <c r="H132" s="515"/>
      <c r="I132" s="516"/>
      <c r="J132" s="508"/>
      <c r="K132" s="509"/>
      <c r="L132" s="509"/>
      <c r="M132" s="509"/>
      <c r="N132" s="509"/>
      <c r="O132" s="509"/>
      <c r="P132" s="510"/>
      <c r="Q132" s="63"/>
      <c r="R132" s="64"/>
    </row>
    <row r="133" spans="1:18" ht="13.5" thickBot="1" x14ac:dyDescent="0.25">
      <c r="A133" s="83"/>
      <c r="B133" s="517"/>
      <c r="C133" s="518"/>
      <c r="D133" s="518"/>
      <c r="E133" s="518"/>
      <c r="F133" s="518"/>
      <c r="G133" s="518"/>
      <c r="H133" s="518"/>
      <c r="I133" s="519"/>
      <c r="J133" s="511"/>
      <c r="K133" s="512"/>
      <c r="L133" s="512"/>
      <c r="M133" s="512"/>
      <c r="N133" s="512"/>
      <c r="O133" s="512"/>
      <c r="P133" s="513"/>
      <c r="Q133" s="63"/>
      <c r="R133" s="64"/>
    </row>
    <row r="134" spans="1:18" x14ac:dyDescent="0.2">
      <c r="A134" s="83"/>
      <c r="B134" s="480" t="s">
        <v>10</v>
      </c>
      <c r="C134" s="481"/>
      <c r="D134" s="481"/>
      <c r="E134" s="481"/>
      <c r="F134" s="481"/>
      <c r="G134" s="481"/>
      <c r="H134" s="481"/>
      <c r="I134" s="482"/>
      <c r="J134" s="79">
        <v>1</v>
      </c>
      <c r="K134" s="483"/>
      <c r="L134" s="484"/>
      <c r="M134" s="484"/>
      <c r="N134" s="484"/>
      <c r="O134" s="484"/>
      <c r="P134" s="485"/>
      <c r="Q134" s="63"/>
      <c r="R134" s="64"/>
    </row>
    <row r="135" spans="1:18" x14ac:dyDescent="0.2">
      <c r="A135" s="83"/>
      <c r="B135" s="486" t="s">
        <v>276</v>
      </c>
      <c r="C135" s="487"/>
      <c r="D135" s="487"/>
      <c r="E135" s="487"/>
      <c r="F135" s="487"/>
      <c r="G135" s="487"/>
      <c r="H135" s="487"/>
      <c r="I135" s="488"/>
      <c r="J135" s="80">
        <v>2</v>
      </c>
      <c r="K135" s="454"/>
      <c r="L135" s="455"/>
      <c r="M135" s="455"/>
      <c r="N135" s="455"/>
      <c r="O135" s="455"/>
      <c r="P135" s="456"/>
      <c r="Q135" s="63"/>
      <c r="R135" s="64"/>
    </row>
    <row r="136" spans="1:18" x14ac:dyDescent="0.2">
      <c r="A136" s="83"/>
      <c r="B136" s="489" t="s">
        <v>234</v>
      </c>
      <c r="C136" s="490"/>
      <c r="D136" s="490"/>
      <c r="E136" s="490"/>
      <c r="F136" s="490"/>
      <c r="G136" s="490"/>
      <c r="H136" s="490"/>
      <c r="I136" s="491"/>
      <c r="J136" s="80">
        <v>3</v>
      </c>
      <c r="K136" s="454"/>
      <c r="L136" s="455"/>
      <c r="M136" s="455"/>
      <c r="N136" s="455"/>
      <c r="O136" s="455"/>
      <c r="P136" s="456"/>
      <c r="Q136" s="63"/>
      <c r="R136" s="64"/>
    </row>
    <row r="137" spans="1:18" x14ac:dyDescent="0.2">
      <c r="A137" s="83"/>
      <c r="B137" s="468"/>
      <c r="C137" s="468"/>
      <c r="D137" s="468"/>
      <c r="E137" s="468"/>
      <c r="F137" s="468"/>
      <c r="G137" s="468"/>
      <c r="H137" s="468"/>
      <c r="I137" s="468"/>
      <c r="J137" s="468"/>
      <c r="K137" s="468"/>
      <c r="L137" s="468"/>
      <c r="M137" s="468"/>
      <c r="N137" s="468"/>
      <c r="O137" s="468"/>
      <c r="P137" s="468"/>
      <c r="Q137" s="63"/>
      <c r="R137" s="64"/>
    </row>
    <row r="138" spans="1:18" ht="12" customHeight="1" x14ac:dyDescent="0.2">
      <c r="A138" s="83"/>
      <c r="B138" s="469" t="s">
        <v>84</v>
      </c>
      <c r="C138" s="471" t="str">
        <f>IF(CODE(B138)=89,"This candidate would like to receive Special","This candidate would not like to receive Special")</f>
        <v>This candidate would like to receive Special</v>
      </c>
      <c r="D138" s="472"/>
      <c r="E138" s="472"/>
      <c r="F138" s="472"/>
      <c r="G138" s="472"/>
      <c r="H138" s="472"/>
      <c r="I138" s="473"/>
      <c r="J138" s="81"/>
      <c r="K138" s="474" t="s">
        <v>235</v>
      </c>
      <c r="L138" s="474"/>
      <c r="M138" s="475"/>
      <c r="N138" s="51" t="str">
        <f>IF($P$33&gt;=4,4,"")</f>
        <v/>
      </c>
      <c r="O138" s="62" t="s">
        <v>52</v>
      </c>
      <c r="P138" s="51" t="str">
        <f>IF($P$33&gt;=4,$P$33,"")</f>
        <v/>
      </c>
      <c r="Q138" s="63"/>
      <c r="R138" s="64"/>
    </row>
    <row r="139" spans="1:18" ht="12" customHeight="1" x14ac:dyDescent="0.2">
      <c r="A139" s="83"/>
      <c r="B139" s="470"/>
      <c r="C139" s="476" t="str">
        <f>IF(CODE(B138)=89,"Announcements and Bulletins from RAD Canada","Announcements and Bulletins from RAD Canada")</f>
        <v>Announcements and Bulletins from RAD Canada</v>
      </c>
      <c r="D139" s="477"/>
      <c r="E139" s="477"/>
      <c r="F139" s="477"/>
      <c r="G139" s="477"/>
      <c r="H139" s="477"/>
      <c r="I139" s="478"/>
      <c r="J139" s="479"/>
      <c r="K139" s="400"/>
      <c r="L139" s="400"/>
      <c r="M139" s="400"/>
      <c r="N139" s="400"/>
      <c r="O139" s="400"/>
      <c r="P139" s="400"/>
      <c r="Q139" s="63"/>
      <c r="R139" s="64"/>
    </row>
    <row r="140" spans="1:18" x14ac:dyDescent="0.2">
      <c r="A140" s="83"/>
      <c r="B140" s="400"/>
      <c r="C140" s="400"/>
      <c r="D140" s="400"/>
      <c r="E140" s="400"/>
      <c r="F140" s="400"/>
      <c r="G140" s="400"/>
      <c r="H140" s="400"/>
      <c r="I140" s="400"/>
      <c r="J140" s="400"/>
      <c r="K140" s="400"/>
      <c r="L140" s="400"/>
      <c r="M140" s="400"/>
      <c r="N140" s="400"/>
      <c r="O140" s="400"/>
      <c r="P140" s="400"/>
      <c r="Q140" s="63"/>
      <c r="R140" s="64"/>
    </row>
    <row r="141" spans="1:18" x14ac:dyDescent="0.2">
      <c r="A141" s="83"/>
      <c r="B141" s="62"/>
      <c r="C141" s="62"/>
      <c r="D141" s="62"/>
      <c r="E141" s="62"/>
      <c r="F141" s="62"/>
      <c r="G141" s="62"/>
      <c r="H141" s="62"/>
      <c r="I141" s="62"/>
      <c r="J141" s="62"/>
      <c r="K141" s="62"/>
      <c r="L141" s="62"/>
      <c r="M141" s="62"/>
      <c r="N141" s="62"/>
      <c r="O141" s="62"/>
      <c r="P141" s="62"/>
      <c r="Q141" s="63"/>
      <c r="R141" s="64"/>
    </row>
    <row r="142" spans="1:18" x14ac:dyDescent="0.2">
      <c r="A142" s="83"/>
      <c r="B142" s="401" t="s">
        <v>281</v>
      </c>
      <c r="C142" s="402"/>
      <c r="D142" s="402"/>
      <c r="E142" s="402"/>
      <c r="F142" s="402"/>
      <c r="G142" s="402"/>
      <c r="H142" s="62"/>
      <c r="I142" s="62"/>
      <c r="J142" s="62"/>
      <c r="K142" s="62"/>
      <c r="L142" s="62"/>
      <c r="M142" s="62"/>
      <c r="N142" s="62"/>
      <c r="O142" s="62"/>
      <c r="P142" s="62"/>
      <c r="Q142" s="63"/>
      <c r="R142" s="64"/>
    </row>
    <row r="143" spans="1:18" ht="15.75" x14ac:dyDescent="0.25">
      <c r="A143" s="83"/>
      <c r="B143" s="402"/>
      <c r="C143" s="402"/>
      <c r="D143" s="402"/>
      <c r="E143" s="402"/>
      <c r="F143" s="402"/>
      <c r="G143" s="402"/>
      <c r="H143" s="82"/>
      <c r="I143" s="403"/>
      <c r="J143" s="403"/>
      <c r="K143" s="403"/>
      <c r="L143" s="403"/>
      <c r="M143" s="403"/>
      <c r="N143" s="403"/>
      <c r="O143" s="403"/>
      <c r="P143" s="403"/>
      <c r="Q143" s="63"/>
      <c r="R143" s="64"/>
    </row>
    <row r="144" spans="1:18" x14ac:dyDescent="0.2">
      <c r="A144" s="83"/>
      <c r="B144" s="400"/>
      <c r="C144" s="400"/>
      <c r="D144" s="400"/>
      <c r="E144" s="400"/>
      <c r="F144" s="400"/>
      <c r="G144" s="400"/>
      <c r="H144" s="400"/>
      <c r="I144" s="400"/>
      <c r="J144" s="400"/>
      <c r="K144" s="400"/>
      <c r="L144" s="400"/>
      <c r="M144" s="403"/>
      <c r="N144" s="403"/>
      <c r="O144" s="403"/>
      <c r="P144" s="403"/>
      <c r="Q144" s="63"/>
      <c r="R144" s="64"/>
    </row>
    <row r="145" spans="1:20" x14ac:dyDescent="0.2">
      <c r="A145" s="83"/>
      <c r="B145" s="404" t="s">
        <v>260</v>
      </c>
      <c r="C145" s="404"/>
      <c r="D145" s="404"/>
      <c r="E145" s="404"/>
      <c r="F145" s="400"/>
      <c r="G145" s="400"/>
      <c r="H145" s="400"/>
      <c r="I145" s="400"/>
      <c r="J145" s="400"/>
      <c r="K145" s="400"/>
      <c r="L145" s="400"/>
      <c r="M145" s="403"/>
      <c r="N145" s="403"/>
      <c r="O145" s="403"/>
      <c r="P145" s="403"/>
      <c r="Q145" s="63"/>
      <c r="R145" s="64"/>
    </row>
    <row r="146" spans="1:20" x14ac:dyDescent="0.2">
      <c r="A146" s="83"/>
      <c r="B146" s="69"/>
      <c r="C146" s="324" t="s">
        <v>75</v>
      </c>
      <c r="D146" s="408"/>
      <c r="E146" s="409"/>
      <c r="F146" s="400"/>
      <c r="G146" s="400"/>
      <c r="H146" s="400"/>
      <c r="I146" s="400"/>
      <c r="J146" s="400"/>
      <c r="K146" s="400"/>
      <c r="L146" s="400"/>
      <c r="M146" s="70"/>
      <c r="N146" s="70"/>
      <c r="O146" s="70"/>
      <c r="P146" s="70"/>
      <c r="Q146" s="63"/>
      <c r="R146" s="64"/>
    </row>
    <row r="147" spans="1:20" x14ac:dyDescent="0.2">
      <c r="A147" s="83"/>
      <c r="B147" s="71"/>
      <c r="C147" s="324" t="s">
        <v>128</v>
      </c>
      <c r="D147" s="408"/>
      <c r="E147" s="409"/>
      <c r="F147" s="400"/>
      <c r="G147" s="400"/>
      <c r="H147" s="400"/>
      <c r="I147" s="400"/>
      <c r="J147" s="400"/>
      <c r="K147" s="400"/>
      <c r="L147" s="400"/>
      <c r="M147" s="407" t="s">
        <v>256</v>
      </c>
      <c r="N147" s="407"/>
      <c r="O147" s="407"/>
      <c r="P147" s="407"/>
      <c r="Q147" s="63"/>
      <c r="R147" s="64"/>
    </row>
    <row r="148" spans="1:20" x14ac:dyDescent="0.2">
      <c r="A148" s="83"/>
      <c r="B148" s="56"/>
      <c r="C148" s="324" t="s">
        <v>282</v>
      </c>
      <c r="D148" s="408"/>
      <c r="E148" s="409"/>
      <c r="F148" s="400"/>
      <c r="G148" s="400"/>
      <c r="H148" s="400"/>
      <c r="I148" s="400"/>
      <c r="J148" s="400"/>
      <c r="K148" s="400"/>
      <c r="L148" s="400"/>
      <c r="M148" s="407"/>
      <c r="N148" s="407"/>
      <c r="O148" s="407"/>
      <c r="P148" s="407"/>
      <c r="Q148" s="63"/>
      <c r="R148" s="64"/>
    </row>
    <row r="149" spans="1:20" x14ac:dyDescent="0.2">
      <c r="A149" s="83"/>
      <c r="B149" s="520"/>
      <c r="C149" s="520"/>
      <c r="D149" s="520"/>
      <c r="E149" s="520"/>
      <c r="F149" s="520"/>
      <c r="G149" s="520"/>
      <c r="H149" s="520"/>
      <c r="I149" s="520"/>
      <c r="J149" s="520"/>
      <c r="K149" s="520"/>
      <c r="L149" s="520"/>
      <c r="M149" s="520"/>
      <c r="N149" s="520"/>
      <c r="O149" s="520"/>
      <c r="P149" s="520"/>
      <c r="Q149" s="63"/>
      <c r="R149" s="64"/>
    </row>
    <row r="150" spans="1:20" x14ac:dyDescent="0.2">
      <c r="A150" s="83"/>
      <c r="B150" s="432" t="s">
        <v>117</v>
      </c>
      <c r="C150" s="433"/>
      <c r="D150" s="434"/>
      <c r="E150" s="442" t="str">
        <f>IF(AND($P$33&gt;=5,NOT(ISBLANK($E$10))),$E$10,"")</f>
        <v/>
      </c>
      <c r="F150" s="443"/>
      <c r="G150" s="444"/>
      <c r="H150" s="414" t="s">
        <v>124</v>
      </c>
      <c r="I150" s="415"/>
      <c r="J150" s="442" t="str">
        <f>IF(AND($P$33&gt;=5,NOT(ISBLANK($J$10))),$J$10,"")</f>
        <v/>
      </c>
      <c r="K150" s="443"/>
      <c r="L150" s="444"/>
      <c r="M150" s="414" t="s">
        <v>118</v>
      </c>
      <c r="N150" s="415"/>
      <c r="O150" s="430" t="str">
        <f>IF(AND($P$33&gt;=5,NOT(ISBLANK($O$10))),$O$10,"")</f>
        <v/>
      </c>
      <c r="P150" s="521"/>
      <c r="Q150" s="63"/>
      <c r="R150" s="545" t="s">
        <v>307</v>
      </c>
      <c r="S150" s="546"/>
      <c r="T150" s="547"/>
    </row>
    <row r="151" spans="1:20" x14ac:dyDescent="0.2">
      <c r="A151" s="83"/>
      <c r="B151" s="432" t="s">
        <v>240</v>
      </c>
      <c r="C151" s="433"/>
      <c r="D151" s="434"/>
      <c r="E151" s="435" t="str">
        <f>IF(NOT($N173=5),"",IF(ISERROR(LOOKUP(5,'Teacher Summary Sheet'!$M$19:$M$181)),"",IF(VLOOKUP(5,'Teacher Summary Sheet'!$M$19:$R$181,2)=0,"",VLOOKUP(5,'Teacher Summary Sheet'!$M$19:$R$181,2))))</f>
        <v/>
      </c>
      <c r="F151" s="436"/>
      <c r="G151" s="437"/>
      <c r="H151" s="438" t="s">
        <v>119</v>
      </c>
      <c r="I151" s="439"/>
      <c r="J151" s="102" t="str">
        <f>IF(NOT($N173=5),"",IF(ISERROR(LOOKUP(5,'Teacher Summary Sheet'!$M$19:$M$181)),"",IF(VLOOKUP(5,'Teacher Summary Sheet'!$M$19:$R$181,6)=0,"",VLOOKUP(5,'Teacher Summary Sheet'!$M$19:$R$181,6))))</f>
        <v/>
      </c>
      <c r="K151" s="414" t="s">
        <v>179</v>
      </c>
      <c r="L151" s="419"/>
      <c r="M151" s="415"/>
      <c r="N151" s="412" t="str">
        <f>IF(NOT($N173=5),"",IF(ISERROR(LOOKUP(5,'Teacher Summary Sheet'!$M$19:$M$181)),"",IF('Teacher Summary Sheet'!$F$31=0,"",'Teacher Summary Sheet'!$F$31)))</f>
        <v/>
      </c>
      <c r="O151" s="440"/>
      <c r="P151" s="413"/>
      <c r="Q151" s="63"/>
      <c r="R151" s="548"/>
      <c r="S151" s="549"/>
      <c r="T151" s="550"/>
    </row>
    <row r="152" spans="1:20" ht="14.25" x14ac:dyDescent="0.2">
      <c r="A152" s="83"/>
      <c r="B152" s="410" t="s">
        <v>241</v>
      </c>
      <c r="C152" s="420"/>
      <c r="D152" s="411"/>
      <c r="E152" s="421" t="str">
        <f>IF(NOT($N173=5),"",IF(ISERROR(LOOKUP(5,'Teacher Summary Sheet'!$M$19:$M$181)),"",IF(VLOOKUP(5,'Teacher Summary Sheet'!$M$19:$R$181,3)=0,"",VLOOKUP(5,'Teacher Summary Sheet'!$M$19:$R$181,3))))</f>
        <v/>
      </c>
      <c r="F152" s="422"/>
      <c r="G152" s="422"/>
      <c r="H152" s="422"/>
      <c r="I152" s="423"/>
      <c r="J152" s="414" t="s">
        <v>124</v>
      </c>
      <c r="K152" s="415"/>
      <c r="L152" s="424" t="str">
        <f>IF(NOT($N173=5),"",IF(ISERROR(LOOKUP(5,'Teacher Summary Sheet'!$M$19:$M$181)),"",IF(VLOOKUP(5,'Teacher Summary Sheet'!$M$19:$R$181,4)=0,"",VLOOKUP(5,'Teacher Summary Sheet'!$M$19:$R$181,4))))</f>
        <v/>
      </c>
      <c r="M152" s="425"/>
      <c r="N152" s="425"/>
      <c r="O152" s="425"/>
      <c r="P152" s="426"/>
      <c r="Q152" s="63"/>
      <c r="R152" s="125" t="str">
        <f>IF(NOT(N173=5),"",IF(COUNTIF(R154:R160,"P")=7,"P","O"))</f>
        <v/>
      </c>
      <c r="S152" s="110" t="str">
        <f>IF(NOT(N173=5),"",IF(COUNTIF(R154:R160,"P")=7,"Complete","Incomplete"))</f>
        <v/>
      </c>
      <c r="T152" s="111"/>
    </row>
    <row r="153" spans="1:20" x14ac:dyDescent="0.2">
      <c r="A153" s="83"/>
      <c r="B153" s="410" t="s">
        <v>120</v>
      </c>
      <c r="C153" s="420"/>
      <c r="D153" s="411"/>
      <c r="E153" s="427"/>
      <c r="F153" s="428"/>
      <c r="G153" s="428"/>
      <c r="H153" s="428"/>
      <c r="I153" s="428"/>
      <c r="J153" s="429"/>
      <c r="K153" s="62" t="s">
        <v>121</v>
      </c>
      <c r="L153" s="427"/>
      <c r="M153" s="428"/>
      <c r="N153" s="428"/>
      <c r="O153" s="428"/>
      <c r="P153" s="429"/>
      <c r="Q153" s="63"/>
    </row>
    <row r="154" spans="1:20" ht="14.25" x14ac:dyDescent="0.2">
      <c r="A154" s="83"/>
      <c r="B154" s="410" t="s">
        <v>196</v>
      </c>
      <c r="C154" s="420"/>
      <c r="D154" s="411"/>
      <c r="E154" s="427"/>
      <c r="F154" s="428"/>
      <c r="G154" s="428"/>
      <c r="H154" s="428"/>
      <c r="I154" s="429"/>
      <c r="J154" s="73" t="s">
        <v>197</v>
      </c>
      <c r="K154" s="405"/>
      <c r="L154" s="406"/>
      <c r="M154" s="414" t="s">
        <v>212</v>
      </c>
      <c r="N154" s="415"/>
      <c r="O154" s="405"/>
      <c r="P154" s="406"/>
      <c r="Q154" s="63"/>
      <c r="R154" s="124" t="str">
        <f>IF(NOT(N173=5),"",IF(OR(COUNTBLANK(E152:E152)=1,COUNTBLANK(L152:L152)=1),"O","P"))</f>
        <v/>
      </c>
      <c r="S154" s="108" t="str">
        <f>IF(NOT(N173=5),"","Candidate Name")</f>
        <v/>
      </c>
      <c r="T154" s="64"/>
    </row>
    <row r="155" spans="1:20" ht="14.25" x14ac:dyDescent="0.2">
      <c r="A155" s="83"/>
      <c r="B155" s="410" t="s">
        <v>198</v>
      </c>
      <c r="C155" s="420"/>
      <c r="D155" s="411"/>
      <c r="E155" s="454"/>
      <c r="F155" s="455"/>
      <c r="G155" s="455"/>
      <c r="H155" s="456"/>
      <c r="I155" s="74" t="s">
        <v>199</v>
      </c>
      <c r="J155" s="427"/>
      <c r="K155" s="428"/>
      <c r="L155" s="428"/>
      <c r="M155" s="428"/>
      <c r="N155" s="428"/>
      <c r="O155" s="428"/>
      <c r="P155" s="429"/>
      <c r="Q155" s="63"/>
      <c r="R155" s="124" t="str">
        <f>IF(NOT(N173=5),"",IF(COUNTBLANK(E151:E151)=1,"O","P"))</f>
        <v/>
      </c>
      <c r="S155" s="108" t="str">
        <f>IF(NOT(N173=5),"","Candidate ID")</f>
        <v/>
      </c>
      <c r="T155" s="64"/>
    </row>
    <row r="156" spans="1:20" ht="14.25" x14ac:dyDescent="0.2">
      <c r="A156" s="83"/>
      <c r="B156" s="410" t="s">
        <v>227</v>
      </c>
      <c r="C156" s="420"/>
      <c r="D156" s="411"/>
      <c r="E156" s="75" t="s">
        <v>218</v>
      </c>
      <c r="F156" s="405"/>
      <c r="G156" s="448"/>
      <c r="H156" s="75" t="s">
        <v>138</v>
      </c>
      <c r="I156" s="449"/>
      <c r="J156" s="450"/>
      <c r="K156" s="76" t="s">
        <v>139</v>
      </c>
      <c r="L156" s="451"/>
      <c r="M156" s="452"/>
      <c r="N156" s="76" t="s">
        <v>228</v>
      </c>
      <c r="O156" s="453" t="str">
        <f ca="1">IF(OR(ISBLANK(L156),ISBLANK(I156),ISBLANK(F156),COUNTBLANK(J151:J151)=1),"",IF(DATEDIF(DATE(L156,VLOOKUP(I156,data!$T$2:$U$13,2,FALSE),F156),IF(AND(TODAY()&lt;data!$AJ$12,TODAY()&gt;data!$AI$12),data!$AI$3,data!$AJ$3),"Y")&gt;=data!$AC$7,YEAR(TODAY())-L156,data!$AD$3))</f>
        <v/>
      </c>
      <c r="P156" s="413"/>
      <c r="Q156" s="63"/>
      <c r="R156" s="124" t="str">
        <f>IF(NOT(N173=5),"",IF(OR(ISBLANK(E153),ISBLANK(L153),ISBLANK(K154),ISBLANK(O154)),"O","P"))</f>
        <v/>
      </c>
      <c r="S156" s="108" t="str">
        <f>IF(NOT(N173=5),"","Address")</f>
        <v/>
      </c>
      <c r="T156" s="64"/>
    </row>
    <row r="157" spans="1:20" ht="15" thickBot="1" x14ac:dyDescent="0.25">
      <c r="A157" s="83"/>
      <c r="B157" s="410" t="s">
        <v>214</v>
      </c>
      <c r="C157" s="411"/>
      <c r="D157" s="412" t="str">
        <f>IF(NOT($N173=5),"",IF(ISERROR(LOOKUP(5,'Teacher Summary Sheet'!$M$19:$M$181)),"",IF(VLOOKUP(5,'Teacher Summary Sheet'!$M$19:$R$181,5)=0,"",VLOOKUP(5,'Teacher Summary Sheet'!$M$19:$R$181,5))))</f>
        <v/>
      </c>
      <c r="E157" s="413"/>
      <c r="F157" s="414" t="s">
        <v>319</v>
      </c>
      <c r="G157" s="415"/>
      <c r="H157" s="416"/>
      <c r="I157" s="417"/>
      <c r="J157" s="418"/>
      <c r="K157" s="414" t="s">
        <v>320</v>
      </c>
      <c r="L157" s="419"/>
      <c r="M157" s="419"/>
      <c r="N157" s="415"/>
      <c r="O157" s="405" t="s">
        <v>268</v>
      </c>
      <c r="P157" s="406"/>
      <c r="Q157" s="63"/>
      <c r="R157" s="124" t="str">
        <f>IF(NOT(N173=5),"",IF(OR(ISBLANK(F156),ISBLANK(I156),ISBLANK(L156)),"O","P"))</f>
        <v/>
      </c>
      <c r="S157" s="108" t="str">
        <f>IF(NOT(N173=5),"","Date of Birth")</f>
        <v/>
      </c>
      <c r="T157" s="64"/>
    </row>
    <row r="158" spans="1:20" ht="14.25" x14ac:dyDescent="0.2">
      <c r="A158" s="83"/>
      <c r="B158" s="522" t="s">
        <v>297</v>
      </c>
      <c r="C158" s="463"/>
      <c r="D158" s="463"/>
      <c r="E158" s="463"/>
      <c r="F158" s="463"/>
      <c r="G158" s="463"/>
      <c r="H158" s="463"/>
      <c r="I158" s="463"/>
      <c r="J158" s="463"/>
      <c r="K158" s="463"/>
      <c r="L158" s="463"/>
      <c r="M158" s="463"/>
      <c r="N158" s="463"/>
      <c r="O158" s="463"/>
      <c r="P158" s="464"/>
      <c r="Q158" s="63"/>
      <c r="R158" s="124" t="str">
        <f>IF(NOT(N173=5),"",IF(COUNTBLANK(J151:J151)=1,"O","P"))</f>
        <v/>
      </c>
      <c r="S158" s="112" t="str">
        <f>IF(NOT(N173=5),"","Exam Level")</f>
        <v/>
      </c>
      <c r="T158" s="64"/>
    </row>
    <row r="159" spans="1:20" ht="14.25" x14ac:dyDescent="0.2">
      <c r="A159" s="83"/>
      <c r="B159" s="465"/>
      <c r="C159" s="466"/>
      <c r="D159" s="466"/>
      <c r="E159" s="466"/>
      <c r="F159" s="466"/>
      <c r="G159" s="466"/>
      <c r="H159" s="466"/>
      <c r="I159" s="466"/>
      <c r="J159" s="466"/>
      <c r="K159" s="466"/>
      <c r="L159" s="466"/>
      <c r="M159" s="466"/>
      <c r="N159" s="466"/>
      <c r="O159" s="466"/>
      <c r="P159" s="467"/>
      <c r="Q159" s="63"/>
      <c r="R159" s="124" t="str">
        <f>IF(NOT(N173=5),"",IF(COUNTBLANK(D157:D157)=1,"O","P"))</f>
        <v/>
      </c>
      <c r="S159" s="109" t="str">
        <f>IF(NOT(N173=5),"","Gender")</f>
        <v/>
      </c>
      <c r="T159" s="64"/>
    </row>
    <row r="160" spans="1:20" ht="14.25" x14ac:dyDescent="0.2">
      <c r="A160" s="83"/>
      <c r="B160" s="432" t="s">
        <v>298</v>
      </c>
      <c r="C160" s="433"/>
      <c r="D160" s="434"/>
      <c r="E160" s="405"/>
      <c r="F160" s="406"/>
      <c r="G160" s="432" t="s">
        <v>299</v>
      </c>
      <c r="H160" s="433"/>
      <c r="I160" s="434"/>
      <c r="J160" s="405"/>
      <c r="K160" s="448"/>
      <c r="L160" s="406"/>
      <c r="M160" s="414" t="s">
        <v>300</v>
      </c>
      <c r="N160" s="415"/>
      <c r="O160" s="457"/>
      <c r="P160" s="458"/>
      <c r="Q160" s="63"/>
      <c r="R160" s="124" t="str">
        <f>IF(NOT(N173=5),"",IF(ISBLANK(H157),"O","P"))</f>
        <v/>
      </c>
      <c r="S160" s="109" t="str">
        <f>IF(NOT(N173=5),"","Height")</f>
        <v/>
      </c>
      <c r="T160" s="64"/>
    </row>
    <row r="161" spans="1:20" x14ac:dyDescent="0.2">
      <c r="A161" s="83"/>
      <c r="B161" s="77" t="s">
        <v>153</v>
      </c>
      <c r="C161" s="405"/>
      <c r="D161" s="406"/>
      <c r="E161" s="414" t="s">
        <v>301</v>
      </c>
      <c r="F161" s="415"/>
      <c r="G161" s="459"/>
      <c r="H161" s="460"/>
      <c r="I161" s="461"/>
      <c r="J161" s="414" t="s">
        <v>302</v>
      </c>
      <c r="K161" s="415"/>
      <c r="L161" s="454"/>
      <c r="M161" s="455"/>
      <c r="N161" s="455"/>
      <c r="O161" s="455"/>
      <c r="P161" s="456"/>
      <c r="Q161" s="63"/>
      <c r="R161" s="64"/>
      <c r="S161" s="64"/>
      <c r="T161" s="64"/>
    </row>
    <row r="162" spans="1:20" x14ac:dyDescent="0.2">
      <c r="A162" s="83"/>
      <c r="B162" s="410" t="s">
        <v>116</v>
      </c>
      <c r="C162" s="420"/>
      <c r="D162" s="420"/>
      <c r="E162" s="420"/>
      <c r="F162" s="420"/>
      <c r="G162" s="420"/>
      <c r="H162" s="420"/>
      <c r="I162" s="420"/>
      <c r="J162" s="420"/>
      <c r="K162" s="420"/>
      <c r="L162" s="420"/>
      <c r="M162" s="420"/>
      <c r="N162" s="420"/>
      <c r="O162" s="420"/>
      <c r="P162" s="411"/>
      <c r="Q162" s="63"/>
      <c r="R162" s="64"/>
      <c r="S162" s="64"/>
      <c r="T162" s="64"/>
    </row>
    <row r="163" spans="1:20" x14ac:dyDescent="0.2">
      <c r="A163" s="83"/>
      <c r="B163" s="410" t="s">
        <v>298</v>
      </c>
      <c r="C163" s="420"/>
      <c r="D163" s="411"/>
      <c r="E163" s="405"/>
      <c r="F163" s="406"/>
      <c r="G163" s="410" t="s">
        <v>299</v>
      </c>
      <c r="H163" s="420"/>
      <c r="I163" s="411"/>
      <c r="J163" s="454"/>
      <c r="K163" s="455"/>
      <c r="L163" s="456"/>
      <c r="M163" s="414" t="s">
        <v>300</v>
      </c>
      <c r="N163" s="415"/>
      <c r="O163" s="457"/>
      <c r="P163" s="458"/>
      <c r="Q163" s="63"/>
      <c r="R163" s="64"/>
    </row>
    <row r="164" spans="1:20" ht="13.5" thickBot="1" x14ac:dyDescent="0.25">
      <c r="A164" s="83"/>
      <c r="B164" s="78" t="s">
        <v>153</v>
      </c>
      <c r="C164" s="492"/>
      <c r="D164" s="493"/>
      <c r="E164" s="494" t="s">
        <v>301</v>
      </c>
      <c r="F164" s="495"/>
      <c r="G164" s="496"/>
      <c r="H164" s="497"/>
      <c r="I164" s="498"/>
      <c r="J164" s="414" t="s">
        <v>302</v>
      </c>
      <c r="K164" s="415"/>
      <c r="L164" s="454"/>
      <c r="M164" s="455"/>
      <c r="N164" s="455"/>
      <c r="O164" s="455"/>
      <c r="P164" s="456"/>
      <c r="Q164" s="63"/>
      <c r="R164" s="64"/>
    </row>
    <row r="165" spans="1:20" x14ac:dyDescent="0.2">
      <c r="A165" s="83"/>
      <c r="B165" s="499" t="s">
        <v>126</v>
      </c>
      <c r="C165" s="500"/>
      <c r="D165" s="500"/>
      <c r="E165" s="500"/>
      <c r="F165" s="500"/>
      <c r="G165" s="500"/>
      <c r="H165" s="500"/>
      <c r="I165" s="501"/>
      <c r="J165" s="505"/>
      <c r="K165" s="506"/>
      <c r="L165" s="506"/>
      <c r="M165" s="506"/>
      <c r="N165" s="506"/>
      <c r="O165" s="506"/>
      <c r="P165" s="507"/>
      <c r="Q165" s="63"/>
      <c r="R165" s="64"/>
    </row>
    <row r="166" spans="1:20" x14ac:dyDescent="0.2">
      <c r="A166" s="83"/>
      <c r="B166" s="502"/>
      <c r="C166" s="503"/>
      <c r="D166" s="503"/>
      <c r="E166" s="503"/>
      <c r="F166" s="503"/>
      <c r="G166" s="503"/>
      <c r="H166" s="503"/>
      <c r="I166" s="504"/>
      <c r="J166" s="508"/>
      <c r="K166" s="509"/>
      <c r="L166" s="509"/>
      <c r="M166" s="509"/>
      <c r="N166" s="509"/>
      <c r="O166" s="509"/>
      <c r="P166" s="510"/>
      <c r="Q166" s="63"/>
      <c r="R166" s="64"/>
    </row>
    <row r="167" spans="1:20" x14ac:dyDescent="0.2">
      <c r="A167" s="83"/>
      <c r="B167" s="514" t="s">
        <v>127</v>
      </c>
      <c r="C167" s="515"/>
      <c r="D167" s="515"/>
      <c r="E167" s="515"/>
      <c r="F167" s="515"/>
      <c r="G167" s="515"/>
      <c r="H167" s="515"/>
      <c r="I167" s="516"/>
      <c r="J167" s="508"/>
      <c r="K167" s="509"/>
      <c r="L167" s="509"/>
      <c r="M167" s="509"/>
      <c r="N167" s="509"/>
      <c r="O167" s="509"/>
      <c r="P167" s="510"/>
      <c r="Q167" s="63"/>
      <c r="R167" s="64"/>
    </row>
    <row r="168" spans="1:20" ht="13.5" thickBot="1" x14ac:dyDescent="0.25">
      <c r="A168" s="83"/>
      <c r="B168" s="517"/>
      <c r="C168" s="518"/>
      <c r="D168" s="518"/>
      <c r="E168" s="518"/>
      <c r="F168" s="518"/>
      <c r="G168" s="518"/>
      <c r="H168" s="518"/>
      <c r="I168" s="519"/>
      <c r="J168" s="511"/>
      <c r="K168" s="512"/>
      <c r="L168" s="512"/>
      <c r="M168" s="512"/>
      <c r="N168" s="512"/>
      <c r="O168" s="512"/>
      <c r="P168" s="513"/>
      <c r="Q168" s="63"/>
      <c r="R168" s="64"/>
    </row>
    <row r="169" spans="1:20" x14ac:dyDescent="0.2">
      <c r="A169" s="83"/>
      <c r="B169" s="480" t="s">
        <v>10</v>
      </c>
      <c r="C169" s="481"/>
      <c r="D169" s="481"/>
      <c r="E169" s="481"/>
      <c r="F169" s="481"/>
      <c r="G169" s="481"/>
      <c r="H169" s="481"/>
      <c r="I169" s="482"/>
      <c r="J169" s="79">
        <v>1</v>
      </c>
      <c r="K169" s="483"/>
      <c r="L169" s="484"/>
      <c r="M169" s="484"/>
      <c r="N169" s="484"/>
      <c r="O169" s="484"/>
      <c r="P169" s="485"/>
      <c r="Q169" s="63"/>
      <c r="R169" s="64"/>
    </row>
    <row r="170" spans="1:20" x14ac:dyDescent="0.2">
      <c r="A170" s="83"/>
      <c r="B170" s="486" t="s">
        <v>276</v>
      </c>
      <c r="C170" s="487"/>
      <c r="D170" s="487"/>
      <c r="E170" s="487"/>
      <c r="F170" s="487"/>
      <c r="G170" s="487"/>
      <c r="H170" s="487"/>
      <c r="I170" s="488"/>
      <c r="J170" s="80">
        <v>2</v>
      </c>
      <c r="K170" s="454"/>
      <c r="L170" s="455"/>
      <c r="M170" s="455"/>
      <c r="N170" s="455"/>
      <c r="O170" s="455"/>
      <c r="P170" s="456"/>
      <c r="Q170" s="63"/>
      <c r="R170" s="64"/>
    </row>
    <row r="171" spans="1:20" x14ac:dyDescent="0.2">
      <c r="A171" s="83"/>
      <c r="B171" s="489" t="s">
        <v>234</v>
      </c>
      <c r="C171" s="490"/>
      <c r="D171" s="490"/>
      <c r="E171" s="490"/>
      <c r="F171" s="490"/>
      <c r="G171" s="490"/>
      <c r="H171" s="490"/>
      <c r="I171" s="491"/>
      <c r="J171" s="80">
        <v>3</v>
      </c>
      <c r="K171" s="454"/>
      <c r="L171" s="455"/>
      <c r="M171" s="455"/>
      <c r="N171" s="455"/>
      <c r="O171" s="455"/>
      <c r="P171" s="456"/>
      <c r="Q171" s="63"/>
      <c r="R171" s="64"/>
    </row>
    <row r="172" spans="1:20" x14ac:dyDescent="0.2">
      <c r="A172" s="83"/>
      <c r="B172" s="468"/>
      <c r="C172" s="468"/>
      <c r="D172" s="468"/>
      <c r="E172" s="468"/>
      <c r="F172" s="468"/>
      <c r="G172" s="468"/>
      <c r="H172" s="468"/>
      <c r="I172" s="468"/>
      <c r="J172" s="468"/>
      <c r="K172" s="468"/>
      <c r="L172" s="468"/>
      <c r="M172" s="468"/>
      <c r="N172" s="468"/>
      <c r="O172" s="468"/>
      <c r="P172" s="468"/>
      <c r="Q172" s="63"/>
      <c r="R172" s="64"/>
    </row>
    <row r="173" spans="1:20" ht="12" customHeight="1" x14ac:dyDescent="0.2">
      <c r="A173" s="83"/>
      <c r="B173" s="469" t="s">
        <v>84</v>
      </c>
      <c r="C173" s="471" t="str">
        <f>IF(CODE(B173)=89,"This candidate would like to receive Special","This candidate would not like to receive Special")</f>
        <v>This candidate would like to receive Special</v>
      </c>
      <c r="D173" s="472"/>
      <c r="E173" s="472"/>
      <c r="F173" s="472"/>
      <c r="G173" s="472"/>
      <c r="H173" s="472"/>
      <c r="I173" s="473"/>
      <c r="J173" s="81"/>
      <c r="K173" s="474" t="s">
        <v>235</v>
      </c>
      <c r="L173" s="474"/>
      <c r="M173" s="475"/>
      <c r="N173" s="51" t="str">
        <f>IF($P$33&gt;=5,5,"")</f>
        <v/>
      </c>
      <c r="O173" s="62" t="s">
        <v>52</v>
      </c>
      <c r="P173" s="51" t="str">
        <f>IF($P$33&gt;=5,$P$33,"")</f>
        <v/>
      </c>
      <c r="Q173" s="63"/>
      <c r="R173" s="64"/>
    </row>
    <row r="174" spans="1:20" ht="12" customHeight="1" x14ac:dyDescent="0.2">
      <c r="A174" s="83"/>
      <c r="B174" s="470"/>
      <c r="C174" s="476" t="str">
        <f>IF(CODE(B173)=89,"Announcements and Bulletins from RAD Canada","Announcements and Bulletins from RAD Canada")</f>
        <v>Announcements and Bulletins from RAD Canada</v>
      </c>
      <c r="D174" s="477"/>
      <c r="E174" s="477"/>
      <c r="F174" s="477"/>
      <c r="G174" s="477"/>
      <c r="H174" s="477"/>
      <c r="I174" s="478"/>
      <c r="J174" s="479"/>
      <c r="K174" s="400"/>
      <c r="L174" s="400"/>
      <c r="M174" s="400"/>
      <c r="N174" s="400"/>
      <c r="O174" s="400"/>
      <c r="P174" s="400"/>
      <c r="Q174" s="63"/>
      <c r="R174" s="64"/>
    </row>
    <row r="175" spans="1:20" x14ac:dyDescent="0.2">
      <c r="A175" s="83"/>
      <c r="B175" s="400"/>
      <c r="C175" s="400"/>
      <c r="D175" s="400"/>
      <c r="E175" s="400"/>
      <c r="F175" s="400"/>
      <c r="G175" s="400"/>
      <c r="H175" s="400"/>
      <c r="I175" s="400"/>
      <c r="J175" s="400"/>
      <c r="K175" s="400"/>
      <c r="L175" s="400"/>
      <c r="M175" s="400"/>
      <c r="N175" s="400"/>
      <c r="O175" s="400"/>
      <c r="P175" s="400"/>
      <c r="Q175" s="63"/>
      <c r="R175" s="64"/>
    </row>
    <row r="176" spans="1:20" x14ac:dyDescent="0.2">
      <c r="A176" s="83"/>
      <c r="B176" s="62"/>
      <c r="C176" s="62"/>
      <c r="D176" s="62"/>
      <c r="E176" s="62"/>
      <c r="F176" s="62"/>
      <c r="G176" s="62"/>
      <c r="H176" s="62"/>
      <c r="I176" s="62"/>
      <c r="J176" s="62"/>
      <c r="K176" s="62"/>
      <c r="L176" s="62"/>
      <c r="M176" s="62"/>
      <c r="N176" s="62"/>
      <c r="O176" s="62"/>
      <c r="P176" s="62"/>
      <c r="Q176" s="63"/>
      <c r="R176" s="64"/>
    </row>
    <row r="177" spans="1:20" x14ac:dyDescent="0.2">
      <c r="A177" s="83"/>
      <c r="B177" s="401" t="s">
        <v>281</v>
      </c>
      <c r="C177" s="402"/>
      <c r="D177" s="402"/>
      <c r="E177" s="402"/>
      <c r="F177" s="402"/>
      <c r="G177" s="402"/>
      <c r="H177" s="62"/>
      <c r="I177" s="62"/>
      <c r="J177" s="62"/>
      <c r="K177" s="62"/>
      <c r="L177" s="62"/>
      <c r="M177" s="62"/>
      <c r="N177" s="62"/>
      <c r="O177" s="62"/>
      <c r="P177" s="62"/>
      <c r="Q177" s="63"/>
      <c r="R177" s="64"/>
    </row>
    <row r="178" spans="1:20" ht="15.75" x14ac:dyDescent="0.25">
      <c r="A178" s="83"/>
      <c r="B178" s="402"/>
      <c r="C178" s="402"/>
      <c r="D178" s="402"/>
      <c r="E178" s="402"/>
      <c r="F178" s="402"/>
      <c r="G178" s="402"/>
      <c r="H178" s="82"/>
      <c r="I178" s="403"/>
      <c r="J178" s="403"/>
      <c r="K178" s="403"/>
      <c r="L178" s="403"/>
      <c r="M178" s="403"/>
      <c r="N178" s="403"/>
      <c r="O178" s="403"/>
      <c r="P178" s="403"/>
      <c r="Q178" s="63"/>
      <c r="R178" s="64"/>
    </row>
    <row r="179" spans="1:20" x14ac:dyDescent="0.2">
      <c r="A179" s="83"/>
      <c r="B179" s="400"/>
      <c r="C179" s="400"/>
      <c r="D179" s="400"/>
      <c r="E179" s="400"/>
      <c r="F179" s="400"/>
      <c r="G179" s="400"/>
      <c r="H179" s="400"/>
      <c r="I179" s="400"/>
      <c r="J179" s="400"/>
      <c r="K179" s="400"/>
      <c r="L179" s="400"/>
      <c r="M179" s="403"/>
      <c r="N179" s="403"/>
      <c r="O179" s="403"/>
      <c r="P179" s="403"/>
      <c r="Q179" s="63"/>
      <c r="R179" s="64"/>
    </row>
    <row r="180" spans="1:20" x14ac:dyDescent="0.2">
      <c r="A180" s="83"/>
      <c r="B180" s="404" t="s">
        <v>260</v>
      </c>
      <c r="C180" s="404"/>
      <c r="D180" s="404"/>
      <c r="E180" s="404"/>
      <c r="F180" s="400"/>
      <c r="G180" s="400"/>
      <c r="H180" s="400"/>
      <c r="I180" s="400"/>
      <c r="J180" s="400"/>
      <c r="K180" s="400"/>
      <c r="L180" s="400"/>
      <c r="M180" s="403"/>
      <c r="N180" s="403"/>
      <c r="O180" s="403"/>
      <c r="P180" s="403"/>
      <c r="Q180" s="63"/>
      <c r="R180" s="64"/>
    </row>
    <row r="181" spans="1:20" x14ac:dyDescent="0.2">
      <c r="A181" s="83"/>
      <c r="B181" s="69"/>
      <c r="C181" s="324" t="s">
        <v>75</v>
      </c>
      <c r="D181" s="408"/>
      <c r="E181" s="409"/>
      <c r="F181" s="400"/>
      <c r="G181" s="400"/>
      <c r="H181" s="400"/>
      <c r="I181" s="400"/>
      <c r="J181" s="400"/>
      <c r="K181" s="400"/>
      <c r="L181" s="400"/>
      <c r="M181" s="70"/>
      <c r="N181" s="70"/>
      <c r="O181" s="70"/>
      <c r="P181" s="70"/>
      <c r="Q181" s="63"/>
      <c r="R181" s="64"/>
    </row>
    <row r="182" spans="1:20" x14ac:dyDescent="0.2">
      <c r="A182" s="83"/>
      <c r="B182" s="71"/>
      <c r="C182" s="324" t="s">
        <v>128</v>
      </c>
      <c r="D182" s="408"/>
      <c r="E182" s="409"/>
      <c r="F182" s="400"/>
      <c r="G182" s="400"/>
      <c r="H182" s="400"/>
      <c r="I182" s="400"/>
      <c r="J182" s="400"/>
      <c r="K182" s="400"/>
      <c r="L182" s="400"/>
      <c r="M182" s="407" t="s">
        <v>256</v>
      </c>
      <c r="N182" s="407"/>
      <c r="O182" s="407"/>
      <c r="P182" s="407"/>
      <c r="Q182" s="63"/>
      <c r="R182" s="64"/>
    </row>
    <row r="183" spans="1:20" x14ac:dyDescent="0.2">
      <c r="A183" s="83"/>
      <c r="B183" s="56"/>
      <c r="C183" s="324" t="s">
        <v>282</v>
      </c>
      <c r="D183" s="408"/>
      <c r="E183" s="409"/>
      <c r="F183" s="400"/>
      <c r="G183" s="400"/>
      <c r="H183" s="400"/>
      <c r="I183" s="400"/>
      <c r="J183" s="400"/>
      <c r="K183" s="400"/>
      <c r="L183" s="400"/>
      <c r="M183" s="407"/>
      <c r="N183" s="407"/>
      <c r="O183" s="407"/>
      <c r="P183" s="407"/>
      <c r="Q183" s="63"/>
      <c r="R183" s="64"/>
    </row>
    <row r="184" spans="1:20" x14ac:dyDescent="0.2">
      <c r="A184" s="83"/>
      <c r="B184" s="520"/>
      <c r="C184" s="520"/>
      <c r="D184" s="520"/>
      <c r="E184" s="520"/>
      <c r="F184" s="520"/>
      <c r="G184" s="520"/>
      <c r="H184" s="520"/>
      <c r="I184" s="520"/>
      <c r="J184" s="520"/>
      <c r="K184" s="520"/>
      <c r="L184" s="520"/>
      <c r="M184" s="520"/>
      <c r="N184" s="520"/>
      <c r="O184" s="520"/>
      <c r="P184" s="520"/>
      <c r="Q184" s="63"/>
      <c r="R184" s="64"/>
    </row>
    <row r="185" spans="1:20" x14ac:dyDescent="0.2">
      <c r="A185" s="83"/>
      <c r="B185" s="432" t="s">
        <v>117</v>
      </c>
      <c r="C185" s="433"/>
      <c r="D185" s="434"/>
      <c r="E185" s="442" t="str">
        <f>IF(AND($P$33&gt;=6,NOT(ISBLANK($E$10))),$E$10,"")</f>
        <v/>
      </c>
      <c r="F185" s="443"/>
      <c r="G185" s="444"/>
      <c r="H185" s="414" t="s">
        <v>124</v>
      </c>
      <c r="I185" s="415"/>
      <c r="J185" s="442" t="str">
        <f>IF(AND($P$33&gt;=6,NOT(ISBLANK($J$10))),$J$10,"")</f>
        <v/>
      </c>
      <c r="K185" s="443"/>
      <c r="L185" s="444"/>
      <c r="M185" s="414" t="s">
        <v>118</v>
      </c>
      <c r="N185" s="415"/>
      <c r="O185" s="430" t="str">
        <f>IF(AND($P$33&gt;=6,NOT(ISBLANK($O$10))),$O$10,"")</f>
        <v/>
      </c>
      <c r="P185" s="521"/>
      <c r="Q185" s="63"/>
      <c r="R185" s="545" t="s">
        <v>307</v>
      </c>
      <c r="S185" s="546"/>
      <c r="T185" s="547"/>
    </row>
    <row r="186" spans="1:20" x14ac:dyDescent="0.2">
      <c r="A186" s="83"/>
      <c r="B186" s="432" t="s">
        <v>240</v>
      </c>
      <c r="C186" s="433"/>
      <c r="D186" s="434"/>
      <c r="E186" s="435" t="str">
        <f>IF(NOT($N208=6),"",IF(ISERROR(LOOKUP(6,'Teacher Summary Sheet'!$M$19:$M$181)),"",IF(VLOOKUP(6,'Teacher Summary Sheet'!$M$19:$R$181,2)=0,"",VLOOKUP(6,'Teacher Summary Sheet'!$M$19:$R$181,2))))</f>
        <v/>
      </c>
      <c r="F186" s="436"/>
      <c r="G186" s="437"/>
      <c r="H186" s="438" t="s">
        <v>119</v>
      </c>
      <c r="I186" s="439"/>
      <c r="J186" s="102" t="str">
        <f>IF(NOT($N208=6),"",IF(ISERROR(LOOKUP(6,'Teacher Summary Sheet'!$M$19:$M$181)),"",IF(VLOOKUP(6,'Teacher Summary Sheet'!$M$19:$R$181,6)=0,"",VLOOKUP(6,'Teacher Summary Sheet'!$M$19:$R$181,6))))</f>
        <v/>
      </c>
      <c r="K186" s="414" t="s">
        <v>179</v>
      </c>
      <c r="L186" s="419"/>
      <c r="M186" s="415"/>
      <c r="N186" s="412" t="str">
        <f>IF(NOT($N208=6),"",IF(ISERROR(LOOKUP(6,'Teacher Summary Sheet'!$M$19:$M$181)),"",IF('Teacher Summary Sheet'!$F$31=0,"",'Teacher Summary Sheet'!$F$31)))</f>
        <v/>
      </c>
      <c r="O186" s="440"/>
      <c r="P186" s="413"/>
      <c r="Q186" s="63"/>
      <c r="R186" s="548"/>
      <c r="S186" s="549"/>
      <c r="T186" s="550"/>
    </row>
    <row r="187" spans="1:20" ht="14.25" x14ac:dyDescent="0.2">
      <c r="A187" s="83"/>
      <c r="B187" s="410" t="s">
        <v>241</v>
      </c>
      <c r="C187" s="420"/>
      <c r="D187" s="411"/>
      <c r="E187" s="421" t="str">
        <f>IF(NOT($N208=6),"",IF(ISERROR(LOOKUP(6,'Teacher Summary Sheet'!$M$19:$M$181)),"",IF(VLOOKUP(6,'Teacher Summary Sheet'!$M$19:$R$181,3)=0,"",VLOOKUP(6,'Teacher Summary Sheet'!$M$19:$R$181,3))))</f>
        <v/>
      </c>
      <c r="F187" s="422"/>
      <c r="G187" s="422"/>
      <c r="H187" s="422"/>
      <c r="I187" s="423"/>
      <c r="J187" s="414" t="s">
        <v>124</v>
      </c>
      <c r="K187" s="415"/>
      <c r="L187" s="424" t="str">
        <f>IF(NOT($N208=6),"",IF(ISERROR(LOOKUP(6,'Teacher Summary Sheet'!$M$19:$M$181)),"",IF(VLOOKUP(6,'Teacher Summary Sheet'!$M$19:$R$181,4)=0,"",VLOOKUP(6,'Teacher Summary Sheet'!$M$19:$R$181,4))))</f>
        <v/>
      </c>
      <c r="M187" s="425"/>
      <c r="N187" s="425"/>
      <c r="O187" s="425"/>
      <c r="P187" s="426"/>
      <c r="Q187" s="63"/>
      <c r="R187" s="125" t="str">
        <f>IF(NOT(N208=6),"",IF(COUNTIF(R189:R195,"P")=7,"P","O"))</f>
        <v/>
      </c>
      <c r="S187" s="110" t="str">
        <f>IF(NOT(N208=6),"",IF(COUNTIF(R189:R195,"P")=7,"Complete","Incomplete"))</f>
        <v/>
      </c>
      <c r="T187" s="111"/>
    </row>
    <row r="188" spans="1:20" x14ac:dyDescent="0.2">
      <c r="A188" s="83"/>
      <c r="B188" s="410" t="s">
        <v>120</v>
      </c>
      <c r="C188" s="420"/>
      <c r="D188" s="411"/>
      <c r="E188" s="427"/>
      <c r="F188" s="428"/>
      <c r="G188" s="428"/>
      <c r="H188" s="428"/>
      <c r="I188" s="428"/>
      <c r="J188" s="429"/>
      <c r="K188" s="62" t="s">
        <v>121</v>
      </c>
      <c r="L188" s="427"/>
      <c r="M188" s="428"/>
      <c r="N188" s="428"/>
      <c r="O188" s="428"/>
      <c r="P188" s="429"/>
      <c r="Q188" s="63"/>
    </row>
    <row r="189" spans="1:20" ht="14.25" x14ac:dyDescent="0.2">
      <c r="A189" s="83"/>
      <c r="B189" s="410" t="s">
        <v>196</v>
      </c>
      <c r="C189" s="420"/>
      <c r="D189" s="411"/>
      <c r="E189" s="427"/>
      <c r="F189" s="428"/>
      <c r="G189" s="428"/>
      <c r="H189" s="428"/>
      <c r="I189" s="429"/>
      <c r="J189" s="73" t="s">
        <v>197</v>
      </c>
      <c r="K189" s="405"/>
      <c r="L189" s="406"/>
      <c r="M189" s="414" t="s">
        <v>212</v>
      </c>
      <c r="N189" s="415"/>
      <c r="O189" s="405"/>
      <c r="P189" s="406"/>
      <c r="Q189" s="63"/>
      <c r="R189" s="124" t="str">
        <f>IF(NOT(N208=6),"",IF(OR(COUNTBLANK(E187:E187)=1,COUNTBLANK(L187:L187)=1),"O","P"))</f>
        <v/>
      </c>
      <c r="S189" s="108" t="str">
        <f>IF(NOT(N208=6),"","Candidate Name")</f>
        <v/>
      </c>
      <c r="T189" s="64"/>
    </row>
    <row r="190" spans="1:20" ht="14.25" x14ac:dyDescent="0.2">
      <c r="A190" s="83"/>
      <c r="B190" s="410" t="s">
        <v>198</v>
      </c>
      <c r="C190" s="420"/>
      <c r="D190" s="411"/>
      <c r="E190" s="454"/>
      <c r="F190" s="455"/>
      <c r="G190" s="455"/>
      <c r="H190" s="456"/>
      <c r="I190" s="74" t="s">
        <v>199</v>
      </c>
      <c r="J190" s="427"/>
      <c r="K190" s="428"/>
      <c r="L190" s="428"/>
      <c r="M190" s="428"/>
      <c r="N190" s="428"/>
      <c r="O190" s="428"/>
      <c r="P190" s="429"/>
      <c r="Q190" s="63"/>
      <c r="R190" s="124" t="str">
        <f>IF(NOT(N208=6),"",IF(COUNTBLANK(E186:E186)=1,"O","P"))</f>
        <v/>
      </c>
      <c r="S190" s="108" t="str">
        <f>IF(NOT(N208=6),"","Candidate ID")</f>
        <v/>
      </c>
      <c r="T190" s="64"/>
    </row>
    <row r="191" spans="1:20" ht="14.25" x14ac:dyDescent="0.2">
      <c r="A191" s="83"/>
      <c r="B191" s="410" t="s">
        <v>227</v>
      </c>
      <c r="C191" s="420"/>
      <c r="D191" s="411"/>
      <c r="E191" s="75" t="s">
        <v>218</v>
      </c>
      <c r="F191" s="405"/>
      <c r="G191" s="448"/>
      <c r="H191" s="75" t="s">
        <v>138</v>
      </c>
      <c r="I191" s="449"/>
      <c r="J191" s="450"/>
      <c r="K191" s="76" t="s">
        <v>139</v>
      </c>
      <c r="L191" s="451"/>
      <c r="M191" s="452"/>
      <c r="N191" s="76" t="s">
        <v>228</v>
      </c>
      <c r="O191" s="453" t="str">
        <f ca="1">IF(OR(ISBLANK(L191),ISBLANK(I191),ISBLANK(F191),COUNTBLANK(J186:J186)=1),"",IF(DATEDIF(DATE(L191,VLOOKUP(I191,data!$T$2:$U$13,2,FALSE),F191),IF(AND(TODAY()&lt;data!$AJ$12,TODAY()&gt;data!$AI$12),data!$AI$3,data!$AJ$3),"Y")&gt;=data!$AC$8,YEAR(TODAY())-L191,data!$AD$3))</f>
        <v/>
      </c>
      <c r="P191" s="413"/>
      <c r="Q191" s="63"/>
      <c r="R191" s="124" t="str">
        <f>IF(NOT(N208=6),"",IF(OR(ISBLANK(E188),ISBLANK(L188),ISBLANK(K189),ISBLANK(O189)),"O","P"))</f>
        <v/>
      </c>
      <c r="S191" s="108" t="str">
        <f>IF(NOT(N208=6),"","Address")</f>
        <v/>
      </c>
      <c r="T191" s="64"/>
    </row>
    <row r="192" spans="1:20" ht="15" thickBot="1" x14ac:dyDescent="0.25">
      <c r="A192" s="83"/>
      <c r="B192" s="410" t="s">
        <v>214</v>
      </c>
      <c r="C192" s="411"/>
      <c r="D192" s="412" t="str">
        <f>IF(NOT($N208=6),"",IF(ISERROR(LOOKUP(6,'Teacher Summary Sheet'!$M$19:$M$181)),"",IF(VLOOKUP(6,'Teacher Summary Sheet'!$M$19:$R$181,5)=0,"",VLOOKUP(6,'Teacher Summary Sheet'!$M$19:$R$181,5))))</f>
        <v/>
      </c>
      <c r="E192" s="413"/>
      <c r="F192" s="414" t="s">
        <v>319</v>
      </c>
      <c r="G192" s="415"/>
      <c r="H192" s="416"/>
      <c r="I192" s="417"/>
      <c r="J192" s="418"/>
      <c r="K192" s="414" t="s">
        <v>320</v>
      </c>
      <c r="L192" s="419"/>
      <c r="M192" s="419"/>
      <c r="N192" s="415"/>
      <c r="O192" s="405" t="s">
        <v>268</v>
      </c>
      <c r="P192" s="406"/>
      <c r="Q192" s="63"/>
      <c r="R192" s="124" t="str">
        <f>IF(NOT(N208=6),"",IF(OR(ISBLANK(F191),ISBLANK(I191),ISBLANK(L191)),"O","P"))</f>
        <v/>
      </c>
      <c r="S192" s="108" t="str">
        <f>IF(NOT(N208=6),"","Date of Birth")</f>
        <v/>
      </c>
      <c r="T192" s="64"/>
    </row>
    <row r="193" spans="1:20" ht="14.25" x14ac:dyDescent="0.2">
      <c r="A193" s="83"/>
      <c r="B193" s="522" t="s">
        <v>297</v>
      </c>
      <c r="C193" s="463"/>
      <c r="D193" s="463"/>
      <c r="E193" s="463"/>
      <c r="F193" s="463"/>
      <c r="G193" s="463"/>
      <c r="H193" s="463"/>
      <c r="I193" s="463"/>
      <c r="J193" s="463"/>
      <c r="K193" s="463"/>
      <c r="L193" s="463"/>
      <c r="M193" s="463"/>
      <c r="N193" s="463"/>
      <c r="O193" s="463"/>
      <c r="P193" s="464"/>
      <c r="Q193" s="63"/>
      <c r="R193" s="124" t="str">
        <f>IF(NOT(N208=6),"",IF(COUNTBLANK(J186:J186)=1,"O","P"))</f>
        <v/>
      </c>
      <c r="S193" s="112" t="str">
        <f>IF(NOT(N208=6),"","Exam Level")</f>
        <v/>
      </c>
      <c r="T193" s="64"/>
    </row>
    <row r="194" spans="1:20" ht="14.25" x14ac:dyDescent="0.2">
      <c r="A194" s="83"/>
      <c r="B194" s="465"/>
      <c r="C194" s="466"/>
      <c r="D194" s="466"/>
      <c r="E194" s="466"/>
      <c r="F194" s="466"/>
      <c r="G194" s="466"/>
      <c r="H194" s="466"/>
      <c r="I194" s="466"/>
      <c r="J194" s="466"/>
      <c r="K194" s="466"/>
      <c r="L194" s="466"/>
      <c r="M194" s="466"/>
      <c r="N194" s="466"/>
      <c r="O194" s="466"/>
      <c r="P194" s="467"/>
      <c r="Q194" s="63"/>
      <c r="R194" s="124" t="str">
        <f>IF(NOT(N208=6),"",IF(COUNTBLANK(D192:D192)=1,"O","P"))</f>
        <v/>
      </c>
      <c r="S194" s="109" t="str">
        <f>IF(NOT(N208=6),"","Gender")</f>
        <v/>
      </c>
      <c r="T194" s="64"/>
    </row>
    <row r="195" spans="1:20" ht="14.25" x14ac:dyDescent="0.2">
      <c r="A195" s="83"/>
      <c r="B195" s="432" t="s">
        <v>298</v>
      </c>
      <c r="C195" s="433"/>
      <c r="D195" s="434"/>
      <c r="E195" s="405"/>
      <c r="F195" s="406"/>
      <c r="G195" s="432" t="s">
        <v>299</v>
      </c>
      <c r="H195" s="433"/>
      <c r="I195" s="434"/>
      <c r="J195" s="405"/>
      <c r="K195" s="448"/>
      <c r="L195" s="406"/>
      <c r="M195" s="414" t="s">
        <v>300</v>
      </c>
      <c r="N195" s="415"/>
      <c r="O195" s="457"/>
      <c r="P195" s="458"/>
      <c r="Q195" s="63"/>
      <c r="R195" s="124" t="str">
        <f>IF(NOT(N208=6),"",IF(ISBLANK(H192),"O","P"))</f>
        <v/>
      </c>
      <c r="S195" s="109" t="str">
        <f>IF(NOT(N208=6),"","Height")</f>
        <v/>
      </c>
      <c r="T195" s="64"/>
    </row>
    <row r="196" spans="1:20" x14ac:dyDescent="0.2">
      <c r="A196" s="83"/>
      <c r="B196" s="77" t="s">
        <v>153</v>
      </c>
      <c r="C196" s="405"/>
      <c r="D196" s="406"/>
      <c r="E196" s="414" t="s">
        <v>301</v>
      </c>
      <c r="F196" s="415"/>
      <c r="G196" s="459"/>
      <c r="H196" s="460"/>
      <c r="I196" s="461"/>
      <c r="J196" s="414" t="s">
        <v>302</v>
      </c>
      <c r="K196" s="415"/>
      <c r="L196" s="454"/>
      <c r="M196" s="455"/>
      <c r="N196" s="455"/>
      <c r="O196" s="455"/>
      <c r="P196" s="456"/>
      <c r="Q196" s="63"/>
      <c r="R196" s="64"/>
      <c r="S196" s="64"/>
      <c r="T196" s="64"/>
    </row>
    <row r="197" spans="1:20" x14ac:dyDescent="0.2">
      <c r="A197" s="83"/>
      <c r="B197" s="410" t="s">
        <v>116</v>
      </c>
      <c r="C197" s="420"/>
      <c r="D197" s="420"/>
      <c r="E197" s="420"/>
      <c r="F197" s="420"/>
      <c r="G197" s="420"/>
      <c r="H197" s="420"/>
      <c r="I197" s="420"/>
      <c r="J197" s="420"/>
      <c r="K197" s="420"/>
      <c r="L197" s="420"/>
      <c r="M197" s="420"/>
      <c r="N197" s="420"/>
      <c r="O197" s="420"/>
      <c r="P197" s="411"/>
      <c r="Q197" s="63"/>
      <c r="R197" s="64"/>
      <c r="S197" s="64"/>
      <c r="T197" s="64"/>
    </row>
    <row r="198" spans="1:20" x14ac:dyDescent="0.2">
      <c r="A198" s="83"/>
      <c r="B198" s="410" t="s">
        <v>298</v>
      </c>
      <c r="C198" s="420"/>
      <c r="D198" s="411"/>
      <c r="E198" s="405"/>
      <c r="F198" s="406"/>
      <c r="G198" s="410" t="s">
        <v>299</v>
      </c>
      <c r="H198" s="420"/>
      <c r="I198" s="411"/>
      <c r="J198" s="454"/>
      <c r="K198" s="455"/>
      <c r="L198" s="456"/>
      <c r="M198" s="414" t="s">
        <v>300</v>
      </c>
      <c r="N198" s="415"/>
      <c r="O198" s="457"/>
      <c r="P198" s="458"/>
      <c r="Q198" s="63"/>
      <c r="R198" s="64"/>
    </row>
    <row r="199" spans="1:20" ht="13.5" thickBot="1" x14ac:dyDescent="0.25">
      <c r="A199" s="83"/>
      <c r="B199" s="78" t="s">
        <v>153</v>
      </c>
      <c r="C199" s="492"/>
      <c r="D199" s="493"/>
      <c r="E199" s="494" t="s">
        <v>301</v>
      </c>
      <c r="F199" s="495"/>
      <c r="G199" s="496"/>
      <c r="H199" s="497"/>
      <c r="I199" s="498"/>
      <c r="J199" s="414" t="s">
        <v>302</v>
      </c>
      <c r="K199" s="415"/>
      <c r="L199" s="454"/>
      <c r="M199" s="455"/>
      <c r="N199" s="455"/>
      <c r="O199" s="455"/>
      <c r="P199" s="456"/>
      <c r="Q199" s="63"/>
      <c r="R199" s="64"/>
    </row>
    <row r="200" spans="1:20" x14ac:dyDescent="0.2">
      <c r="A200" s="83"/>
      <c r="B200" s="499" t="s">
        <v>126</v>
      </c>
      <c r="C200" s="500"/>
      <c r="D200" s="500"/>
      <c r="E200" s="500"/>
      <c r="F200" s="500"/>
      <c r="G200" s="500"/>
      <c r="H200" s="500"/>
      <c r="I200" s="501"/>
      <c r="J200" s="505"/>
      <c r="K200" s="506"/>
      <c r="L200" s="506"/>
      <c r="M200" s="506"/>
      <c r="N200" s="506"/>
      <c r="O200" s="506"/>
      <c r="P200" s="507"/>
      <c r="Q200" s="63"/>
      <c r="R200" s="64"/>
    </row>
    <row r="201" spans="1:20" x14ac:dyDescent="0.2">
      <c r="A201" s="83"/>
      <c r="B201" s="502"/>
      <c r="C201" s="503"/>
      <c r="D201" s="503"/>
      <c r="E201" s="503"/>
      <c r="F201" s="503"/>
      <c r="G201" s="503"/>
      <c r="H201" s="503"/>
      <c r="I201" s="504"/>
      <c r="J201" s="508"/>
      <c r="K201" s="509"/>
      <c r="L201" s="509"/>
      <c r="M201" s="509"/>
      <c r="N201" s="509"/>
      <c r="O201" s="509"/>
      <c r="P201" s="510"/>
      <c r="Q201" s="63"/>
      <c r="R201" s="64"/>
    </row>
    <row r="202" spans="1:20" x14ac:dyDescent="0.2">
      <c r="A202" s="83"/>
      <c r="B202" s="514" t="s">
        <v>127</v>
      </c>
      <c r="C202" s="515"/>
      <c r="D202" s="515"/>
      <c r="E202" s="515"/>
      <c r="F202" s="515"/>
      <c r="G202" s="515"/>
      <c r="H202" s="515"/>
      <c r="I202" s="516"/>
      <c r="J202" s="508"/>
      <c r="K202" s="509"/>
      <c r="L202" s="509"/>
      <c r="M202" s="509"/>
      <c r="N202" s="509"/>
      <c r="O202" s="509"/>
      <c r="P202" s="510"/>
      <c r="Q202" s="63"/>
      <c r="R202" s="64"/>
    </row>
    <row r="203" spans="1:20" ht="13.5" thickBot="1" x14ac:dyDescent="0.25">
      <c r="A203" s="83"/>
      <c r="B203" s="517"/>
      <c r="C203" s="518"/>
      <c r="D203" s="518"/>
      <c r="E203" s="518"/>
      <c r="F203" s="518"/>
      <c r="G203" s="518"/>
      <c r="H203" s="518"/>
      <c r="I203" s="519"/>
      <c r="J203" s="511"/>
      <c r="K203" s="512"/>
      <c r="L203" s="512"/>
      <c r="M203" s="512"/>
      <c r="N203" s="512"/>
      <c r="O203" s="512"/>
      <c r="P203" s="513"/>
      <c r="Q203" s="63"/>
      <c r="R203" s="64"/>
    </row>
    <row r="204" spans="1:20" x14ac:dyDescent="0.2">
      <c r="A204" s="83"/>
      <c r="B204" s="480" t="s">
        <v>10</v>
      </c>
      <c r="C204" s="481"/>
      <c r="D204" s="481"/>
      <c r="E204" s="481"/>
      <c r="F204" s="481"/>
      <c r="G204" s="481"/>
      <c r="H204" s="481"/>
      <c r="I204" s="482"/>
      <c r="J204" s="79">
        <v>1</v>
      </c>
      <c r="K204" s="483"/>
      <c r="L204" s="484"/>
      <c r="M204" s="484"/>
      <c r="N204" s="484"/>
      <c r="O204" s="484"/>
      <c r="P204" s="485"/>
      <c r="Q204" s="63"/>
      <c r="R204" s="64"/>
    </row>
    <row r="205" spans="1:20" x14ac:dyDescent="0.2">
      <c r="A205" s="83"/>
      <c r="B205" s="486" t="s">
        <v>276</v>
      </c>
      <c r="C205" s="487"/>
      <c r="D205" s="487"/>
      <c r="E205" s="487"/>
      <c r="F205" s="487"/>
      <c r="G205" s="487"/>
      <c r="H205" s="487"/>
      <c r="I205" s="488"/>
      <c r="J205" s="80">
        <v>2</v>
      </c>
      <c r="K205" s="454"/>
      <c r="L205" s="455"/>
      <c r="M205" s="455"/>
      <c r="N205" s="455"/>
      <c r="O205" s="455"/>
      <c r="P205" s="456"/>
      <c r="Q205" s="63"/>
      <c r="R205" s="64"/>
    </row>
    <row r="206" spans="1:20" x14ac:dyDescent="0.2">
      <c r="A206" s="83"/>
      <c r="B206" s="489" t="s">
        <v>234</v>
      </c>
      <c r="C206" s="490"/>
      <c r="D206" s="490"/>
      <c r="E206" s="490"/>
      <c r="F206" s="490"/>
      <c r="G206" s="490"/>
      <c r="H206" s="490"/>
      <c r="I206" s="491"/>
      <c r="J206" s="80">
        <v>3</v>
      </c>
      <c r="K206" s="454"/>
      <c r="L206" s="455"/>
      <c r="M206" s="455"/>
      <c r="N206" s="455"/>
      <c r="O206" s="455"/>
      <c r="P206" s="456"/>
      <c r="Q206" s="63"/>
      <c r="R206" s="64"/>
    </row>
    <row r="207" spans="1:20" x14ac:dyDescent="0.2">
      <c r="A207" s="83"/>
      <c r="B207" s="468"/>
      <c r="C207" s="468"/>
      <c r="D207" s="468"/>
      <c r="E207" s="468"/>
      <c r="F207" s="468"/>
      <c r="G207" s="468"/>
      <c r="H207" s="468"/>
      <c r="I207" s="468"/>
      <c r="J207" s="468"/>
      <c r="K207" s="468"/>
      <c r="L207" s="468"/>
      <c r="M207" s="468"/>
      <c r="N207" s="468"/>
      <c r="O207" s="468"/>
      <c r="P207" s="468"/>
      <c r="Q207" s="63"/>
      <c r="R207" s="64"/>
    </row>
    <row r="208" spans="1:20" ht="12" customHeight="1" x14ac:dyDescent="0.2">
      <c r="A208" s="83"/>
      <c r="B208" s="469" t="s">
        <v>84</v>
      </c>
      <c r="C208" s="471" t="str">
        <f>IF(CODE(B208)=89,"This candidate would like to receive Special","This candidate would not like to receive Special")</f>
        <v>This candidate would like to receive Special</v>
      </c>
      <c r="D208" s="472"/>
      <c r="E208" s="472"/>
      <c r="F208" s="472"/>
      <c r="G208" s="472"/>
      <c r="H208" s="472"/>
      <c r="I208" s="473"/>
      <c r="J208" s="81"/>
      <c r="K208" s="474" t="s">
        <v>235</v>
      </c>
      <c r="L208" s="474"/>
      <c r="M208" s="475"/>
      <c r="N208" s="51" t="str">
        <f>IF($P$33&gt;=6,6,"")</f>
        <v/>
      </c>
      <c r="O208" s="62" t="s">
        <v>52</v>
      </c>
      <c r="P208" s="51" t="str">
        <f>IF($P$33&gt;=6,$P$33,"")</f>
        <v/>
      </c>
      <c r="Q208" s="63"/>
      <c r="R208" s="64"/>
    </row>
    <row r="209" spans="1:20" ht="12" customHeight="1" x14ac:dyDescent="0.2">
      <c r="A209" s="83"/>
      <c r="B209" s="470"/>
      <c r="C209" s="476" t="str">
        <f>IF(CODE(B208)=89,"Announcements and Bulletins from RAD Canada","Announcements and Bulletins from RAD Canada")</f>
        <v>Announcements and Bulletins from RAD Canada</v>
      </c>
      <c r="D209" s="477"/>
      <c r="E209" s="477"/>
      <c r="F209" s="477"/>
      <c r="G209" s="477"/>
      <c r="H209" s="477"/>
      <c r="I209" s="478"/>
      <c r="J209" s="479"/>
      <c r="K209" s="400"/>
      <c r="L209" s="400"/>
      <c r="M209" s="400"/>
      <c r="N209" s="400"/>
      <c r="O209" s="400"/>
      <c r="P209" s="400"/>
      <c r="Q209" s="63"/>
      <c r="R209" s="64"/>
    </row>
    <row r="210" spans="1:20" x14ac:dyDescent="0.2">
      <c r="A210" s="83"/>
      <c r="B210" s="400"/>
      <c r="C210" s="400"/>
      <c r="D210" s="400"/>
      <c r="E210" s="400"/>
      <c r="F210" s="400"/>
      <c r="G210" s="400"/>
      <c r="H210" s="400"/>
      <c r="I210" s="400"/>
      <c r="J210" s="400"/>
      <c r="K210" s="400"/>
      <c r="L210" s="400"/>
      <c r="M210" s="400"/>
      <c r="N210" s="400"/>
      <c r="O210" s="400"/>
      <c r="P210" s="400"/>
      <c r="Q210" s="63"/>
      <c r="R210" s="64"/>
    </row>
    <row r="211" spans="1:20" x14ac:dyDescent="0.2">
      <c r="A211" s="83"/>
      <c r="B211" s="62"/>
      <c r="C211" s="62"/>
      <c r="D211" s="62"/>
      <c r="E211" s="62"/>
      <c r="F211" s="62"/>
      <c r="G211" s="62"/>
      <c r="H211" s="62"/>
      <c r="I211" s="62"/>
      <c r="J211" s="62"/>
      <c r="K211" s="62"/>
      <c r="L211" s="62"/>
      <c r="M211" s="62"/>
      <c r="N211" s="62"/>
      <c r="O211" s="62"/>
      <c r="P211" s="62"/>
      <c r="Q211" s="63"/>
      <c r="R211" s="64"/>
    </row>
    <row r="212" spans="1:20" x14ac:dyDescent="0.2">
      <c r="A212" s="83"/>
      <c r="B212" s="401" t="s">
        <v>233</v>
      </c>
      <c r="C212" s="402"/>
      <c r="D212" s="402"/>
      <c r="E212" s="402"/>
      <c r="F212" s="402"/>
      <c r="G212" s="402"/>
      <c r="H212" s="62"/>
      <c r="I212" s="62"/>
      <c r="J212" s="62"/>
      <c r="K212" s="62"/>
      <c r="L212" s="62"/>
      <c r="M212" s="62"/>
      <c r="N212" s="62"/>
      <c r="O212" s="62"/>
      <c r="P212" s="62"/>
      <c r="Q212" s="63"/>
      <c r="R212" s="64"/>
    </row>
    <row r="213" spans="1:20" ht="15.75" x14ac:dyDescent="0.25">
      <c r="A213" s="83"/>
      <c r="B213" s="402"/>
      <c r="C213" s="402"/>
      <c r="D213" s="402"/>
      <c r="E213" s="402"/>
      <c r="F213" s="402"/>
      <c r="G213" s="402"/>
      <c r="H213" s="82"/>
      <c r="I213" s="403"/>
      <c r="J213" s="403"/>
      <c r="K213" s="403"/>
      <c r="L213" s="403"/>
      <c r="M213" s="403"/>
      <c r="N213" s="403"/>
      <c r="O213" s="403"/>
      <c r="P213" s="403"/>
      <c r="Q213" s="63"/>
      <c r="R213" s="64"/>
    </row>
    <row r="214" spans="1:20" x14ac:dyDescent="0.2">
      <c r="A214" s="83"/>
      <c r="B214" s="400"/>
      <c r="C214" s="400"/>
      <c r="D214" s="400"/>
      <c r="E214" s="400"/>
      <c r="F214" s="400"/>
      <c r="G214" s="400"/>
      <c r="H214" s="400"/>
      <c r="I214" s="400"/>
      <c r="J214" s="400"/>
      <c r="K214" s="400"/>
      <c r="L214" s="400"/>
      <c r="M214" s="403"/>
      <c r="N214" s="403"/>
      <c r="O214" s="403"/>
      <c r="P214" s="403"/>
      <c r="Q214" s="63"/>
      <c r="R214" s="64"/>
    </row>
    <row r="215" spans="1:20" x14ac:dyDescent="0.2">
      <c r="A215" s="83"/>
      <c r="B215" s="404" t="s">
        <v>260</v>
      </c>
      <c r="C215" s="404"/>
      <c r="D215" s="404"/>
      <c r="E215" s="404"/>
      <c r="F215" s="400"/>
      <c r="G215" s="400"/>
      <c r="H215" s="400"/>
      <c r="I215" s="400"/>
      <c r="J215" s="400"/>
      <c r="K215" s="400"/>
      <c r="L215" s="400"/>
      <c r="M215" s="403"/>
      <c r="N215" s="403"/>
      <c r="O215" s="403"/>
      <c r="P215" s="403"/>
      <c r="Q215" s="63"/>
      <c r="R215" s="64"/>
    </row>
    <row r="216" spans="1:20" x14ac:dyDescent="0.2">
      <c r="A216" s="83"/>
      <c r="B216" s="69"/>
      <c r="C216" s="324" t="s">
        <v>75</v>
      </c>
      <c r="D216" s="408"/>
      <c r="E216" s="409"/>
      <c r="F216" s="400"/>
      <c r="G216" s="400"/>
      <c r="H216" s="400"/>
      <c r="I216" s="400"/>
      <c r="J216" s="400"/>
      <c r="K216" s="400"/>
      <c r="L216" s="400"/>
      <c r="M216" s="70"/>
      <c r="N216" s="70"/>
      <c r="O216" s="70"/>
      <c r="P216" s="70"/>
      <c r="Q216" s="63"/>
      <c r="R216" s="64"/>
    </row>
    <row r="217" spans="1:20" x14ac:dyDescent="0.2">
      <c r="A217" s="83"/>
      <c r="B217" s="71"/>
      <c r="C217" s="324" t="s">
        <v>128</v>
      </c>
      <c r="D217" s="408"/>
      <c r="E217" s="409"/>
      <c r="F217" s="400"/>
      <c r="G217" s="400"/>
      <c r="H217" s="400"/>
      <c r="I217" s="400"/>
      <c r="J217" s="400"/>
      <c r="K217" s="400"/>
      <c r="L217" s="400"/>
      <c r="M217" s="407" t="s">
        <v>256</v>
      </c>
      <c r="N217" s="407"/>
      <c r="O217" s="407"/>
      <c r="P217" s="407"/>
      <c r="Q217" s="63"/>
      <c r="R217" s="64"/>
    </row>
    <row r="218" spans="1:20" x14ac:dyDescent="0.2">
      <c r="A218" s="83"/>
      <c r="B218" s="56"/>
      <c r="C218" s="324" t="s">
        <v>275</v>
      </c>
      <c r="D218" s="408"/>
      <c r="E218" s="409"/>
      <c r="F218" s="400"/>
      <c r="G218" s="400"/>
      <c r="H218" s="400"/>
      <c r="I218" s="400"/>
      <c r="J218" s="400"/>
      <c r="K218" s="400"/>
      <c r="L218" s="400"/>
      <c r="M218" s="407"/>
      <c r="N218" s="407"/>
      <c r="O218" s="407"/>
      <c r="P218" s="407"/>
      <c r="Q218" s="63"/>
      <c r="R218" s="64"/>
    </row>
    <row r="219" spans="1:20" x14ac:dyDescent="0.2">
      <c r="A219" s="83"/>
      <c r="B219" s="520"/>
      <c r="C219" s="520"/>
      <c r="D219" s="520"/>
      <c r="E219" s="520"/>
      <c r="F219" s="520"/>
      <c r="G219" s="520"/>
      <c r="H219" s="520"/>
      <c r="I219" s="520"/>
      <c r="J219" s="520"/>
      <c r="K219" s="520"/>
      <c r="L219" s="520"/>
      <c r="M219" s="520"/>
      <c r="N219" s="520"/>
      <c r="O219" s="520"/>
      <c r="P219" s="520"/>
      <c r="Q219" s="63"/>
      <c r="R219" s="64"/>
    </row>
    <row r="220" spans="1:20" x14ac:dyDescent="0.2">
      <c r="A220" s="83"/>
      <c r="B220" s="432" t="s">
        <v>117</v>
      </c>
      <c r="C220" s="433"/>
      <c r="D220" s="434"/>
      <c r="E220" s="442" t="str">
        <f>IF(AND($P$33&gt;=7,NOT(ISBLANK($E$10))),$E$10,"")</f>
        <v/>
      </c>
      <c r="F220" s="443"/>
      <c r="G220" s="444"/>
      <c r="H220" s="414" t="s">
        <v>124</v>
      </c>
      <c r="I220" s="415"/>
      <c r="J220" s="442" t="str">
        <f>IF(AND($P$33&gt;=7,NOT(ISBLANK($J$10))),$J$10,"")</f>
        <v/>
      </c>
      <c r="K220" s="443"/>
      <c r="L220" s="444"/>
      <c r="M220" s="414" t="s">
        <v>118</v>
      </c>
      <c r="N220" s="415"/>
      <c r="O220" s="430" t="str">
        <f>IF(AND($P$33&gt;=7,NOT(ISBLANK($O$10))),$O$10,"")</f>
        <v/>
      </c>
      <c r="P220" s="521"/>
      <c r="Q220" s="63"/>
      <c r="R220" s="545" t="s">
        <v>307</v>
      </c>
      <c r="S220" s="546"/>
      <c r="T220" s="547"/>
    </row>
    <row r="221" spans="1:20" x14ac:dyDescent="0.2">
      <c r="A221" s="83"/>
      <c r="B221" s="432" t="s">
        <v>240</v>
      </c>
      <c r="C221" s="433"/>
      <c r="D221" s="434"/>
      <c r="E221" s="435" t="str">
        <f>IF(NOT($N243=7),"",IF(ISERROR(LOOKUP(7,'Teacher Summary Sheet'!$M$19:$M$181)),"",IF(VLOOKUP(7,'Teacher Summary Sheet'!$M$19:$R$181,2)=0,"",VLOOKUP(7,'Teacher Summary Sheet'!$M$19:$R$181,2))))</f>
        <v/>
      </c>
      <c r="F221" s="436"/>
      <c r="G221" s="437"/>
      <c r="H221" s="438" t="s">
        <v>119</v>
      </c>
      <c r="I221" s="439"/>
      <c r="J221" s="102" t="str">
        <f>IF(NOT($N243=7),"",IF(ISERROR(LOOKUP(7,'Teacher Summary Sheet'!$M$19:$M$181)),"",IF(VLOOKUP(7,'Teacher Summary Sheet'!$M$19:$R$181,6)=0,"",VLOOKUP(7,'Teacher Summary Sheet'!$M$19:$R$181,6))))</f>
        <v/>
      </c>
      <c r="K221" s="414" t="s">
        <v>179</v>
      </c>
      <c r="L221" s="419"/>
      <c r="M221" s="415"/>
      <c r="N221" s="412" t="str">
        <f>IF(NOT($N243=7),"",IF(ISERROR(LOOKUP(7,'Teacher Summary Sheet'!$M$19:$M$181)),"",IF('Teacher Summary Sheet'!$F$31=0,"",'Teacher Summary Sheet'!$F$31)))</f>
        <v/>
      </c>
      <c r="O221" s="440"/>
      <c r="P221" s="413"/>
      <c r="Q221" s="63"/>
      <c r="R221" s="548"/>
      <c r="S221" s="549"/>
      <c r="T221" s="550"/>
    </row>
    <row r="222" spans="1:20" ht="14.25" x14ac:dyDescent="0.2">
      <c r="A222" s="83"/>
      <c r="B222" s="410" t="s">
        <v>241</v>
      </c>
      <c r="C222" s="420"/>
      <c r="D222" s="411"/>
      <c r="E222" s="421" t="str">
        <f>IF(NOT($N243=7),"",IF(ISERROR(LOOKUP(7,'Teacher Summary Sheet'!$M$19:$M$181)),"",IF(VLOOKUP(7,'Teacher Summary Sheet'!$M$19:$R$181,3)=0,"",VLOOKUP(7,'Teacher Summary Sheet'!$M$19:$R$181,3))))</f>
        <v/>
      </c>
      <c r="F222" s="422"/>
      <c r="G222" s="422"/>
      <c r="H222" s="422"/>
      <c r="I222" s="423"/>
      <c r="J222" s="414" t="s">
        <v>124</v>
      </c>
      <c r="K222" s="415"/>
      <c r="L222" s="424" t="str">
        <f>IF(NOT($N243=7),"",IF(ISERROR(LOOKUP(7,'Teacher Summary Sheet'!$M$19:$M$181)),"",IF(VLOOKUP(7,'Teacher Summary Sheet'!$M$19:$R$181,4)=0,"",VLOOKUP(7,'Teacher Summary Sheet'!$M$19:$R$181,4))))</f>
        <v/>
      </c>
      <c r="M222" s="425"/>
      <c r="N222" s="425"/>
      <c r="O222" s="425"/>
      <c r="P222" s="426"/>
      <c r="Q222" s="63"/>
      <c r="R222" s="125" t="str">
        <f>IF(NOT(N243=7),"",IF(COUNTIF(R224:R230,"P")=7,"P","O"))</f>
        <v/>
      </c>
      <c r="S222" s="110" t="str">
        <f>IF(NOT(N243=7),"",IF(COUNTIF(R224:R230,"P")=7,"Complete","Incomplete"))</f>
        <v/>
      </c>
      <c r="T222" s="111"/>
    </row>
    <row r="223" spans="1:20" x14ac:dyDescent="0.2">
      <c r="A223" s="83"/>
      <c r="B223" s="410" t="s">
        <v>120</v>
      </c>
      <c r="C223" s="420"/>
      <c r="D223" s="411"/>
      <c r="E223" s="427"/>
      <c r="F223" s="428"/>
      <c r="G223" s="428"/>
      <c r="H223" s="428"/>
      <c r="I223" s="428"/>
      <c r="J223" s="429"/>
      <c r="K223" s="62" t="s">
        <v>121</v>
      </c>
      <c r="L223" s="427"/>
      <c r="M223" s="428"/>
      <c r="N223" s="428"/>
      <c r="O223" s="428"/>
      <c r="P223" s="429"/>
      <c r="Q223" s="63"/>
    </row>
    <row r="224" spans="1:20" ht="14.25" x14ac:dyDescent="0.2">
      <c r="A224" s="83"/>
      <c r="B224" s="410" t="s">
        <v>196</v>
      </c>
      <c r="C224" s="420"/>
      <c r="D224" s="411"/>
      <c r="E224" s="427"/>
      <c r="F224" s="428"/>
      <c r="G224" s="428"/>
      <c r="H224" s="428"/>
      <c r="I224" s="429"/>
      <c r="J224" s="73" t="s">
        <v>197</v>
      </c>
      <c r="K224" s="405"/>
      <c r="L224" s="406"/>
      <c r="M224" s="414" t="s">
        <v>212</v>
      </c>
      <c r="N224" s="415"/>
      <c r="O224" s="405"/>
      <c r="P224" s="406"/>
      <c r="Q224" s="63"/>
      <c r="R224" s="124" t="str">
        <f>IF(NOT(N243=7),"",IF(OR(COUNTBLANK(E222:E222)=1,COUNTBLANK(L222:L222)=1),"O","P"))</f>
        <v/>
      </c>
      <c r="S224" s="108" t="str">
        <f>IF(NOT(N243=7),"","Candidate Name")</f>
        <v/>
      </c>
      <c r="T224" s="64"/>
    </row>
    <row r="225" spans="1:20" ht="14.25" x14ac:dyDescent="0.2">
      <c r="A225" s="83"/>
      <c r="B225" s="410" t="s">
        <v>198</v>
      </c>
      <c r="C225" s="420"/>
      <c r="D225" s="411"/>
      <c r="E225" s="454"/>
      <c r="F225" s="455"/>
      <c r="G225" s="455"/>
      <c r="H225" s="456"/>
      <c r="I225" s="74" t="s">
        <v>199</v>
      </c>
      <c r="J225" s="427"/>
      <c r="K225" s="428"/>
      <c r="L225" s="428"/>
      <c r="M225" s="428"/>
      <c r="N225" s="428"/>
      <c r="O225" s="428"/>
      <c r="P225" s="429"/>
      <c r="Q225" s="63"/>
      <c r="R225" s="124" t="str">
        <f>IF(NOT(N243=7),"",IF(COUNTBLANK(E221:E221)=1,"O","P"))</f>
        <v/>
      </c>
      <c r="S225" s="108" t="str">
        <f>IF(NOT(N243=7),"","Candidate ID")</f>
        <v/>
      </c>
      <c r="T225" s="64"/>
    </row>
    <row r="226" spans="1:20" ht="14.25" x14ac:dyDescent="0.2">
      <c r="A226" s="83"/>
      <c r="B226" s="410" t="s">
        <v>227</v>
      </c>
      <c r="C226" s="420"/>
      <c r="D226" s="411"/>
      <c r="E226" s="75" t="s">
        <v>218</v>
      </c>
      <c r="F226" s="405"/>
      <c r="G226" s="448"/>
      <c r="H226" s="75" t="s">
        <v>138</v>
      </c>
      <c r="I226" s="449"/>
      <c r="J226" s="450"/>
      <c r="K226" s="76" t="s">
        <v>139</v>
      </c>
      <c r="L226" s="451"/>
      <c r="M226" s="452"/>
      <c r="N226" s="76" t="s">
        <v>228</v>
      </c>
      <c r="O226" s="453" t="str">
        <f ca="1">IF(OR(ISBLANK(L226),ISBLANK(I226),ISBLANK(F226),COUNTBLANK(J221:J221)=1),"",IF(DATEDIF(DATE(L226,VLOOKUP(I226,data!$T$2:$U$13,2,FALSE),F226),IF(AND(TODAY()&lt;data!$AJ$12,TODAY()&gt;data!$AI$12),data!$AI$3,data!$AJ$3),"Y")&gt;=data!$AC$9,YEAR(TODAY())-L226,data!$AD$3))</f>
        <v/>
      </c>
      <c r="P226" s="413"/>
      <c r="Q226" s="63"/>
      <c r="R226" s="124" t="str">
        <f>IF(NOT(N243=7),"",IF(OR(ISBLANK(E223),ISBLANK(L223),ISBLANK(K224),ISBLANK(O224)),"O","P"))</f>
        <v/>
      </c>
      <c r="S226" s="108" t="str">
        <f>IF(NOT(N243=7),"","Address")</f>
        <v/>
      </c>
      <c r="T226" s="64"/>
    </row>
    <row r="227" spans="1:20" ht="15" thickBot="1" x14ac:dyDescent="0.25">
      <c r="A227" s="83"/>
      <c r="B227" s="410" t="s">
        <v>214</v>
      </c>
      <c r="C227" s="411"/>
      <c r="D227" s="412" t="str">
        <f>IF(NOT($N243=7),"",IF(ISERROR(LOOKUP(7,'Teacher Summary Sheet'!$M$19:$M$181)),"",IF(VLOOKUP(7,'Teacher Summary Sheet'!$M$19:$R$181,5)=0,"",VLOOKUP(7,'Teacher Summary Sheet'!$M$19:$R$181,5))))</f>
        <v/>
      </c>
      <c r="E227" s="413"/>
      <c r="F227" s="414" t="s">
        <v>319</v>
      </c>
      <c r="G227" s="415"/>
      <c r="H227" s="416"/>
      <c r="I227" s="417"/>
      <c r="J227" s="418"/>
      <c r="K227" s="414" t="s">
        <v>320</v>
      </c>
      <c r="L227" s="419"/>
      <c r="M227" s="419"/>
      <c r="N227" s="415"/>
      <c r="O227" s="405" t="s">
        <v>268</v>
      </c>
      <c r="P227" s="406"/>
      <c r="Q227" s="63"/>
      <c r="R227" s="124" t="str">
        <f>IF(NOT(N243=7),"",IF(OR(ISBLANK(F226),ISBLANK(I226),ISBLANK(L226)),"O","P"))</f>
        <v/>
      </c>
      <c r="S227" s="108" t="str">
        <f>IF(NOT(N243=7),"","Date of Birth")</f>
        <v/>
      </c>
      <c r="T227" s="64"/>
    </row>
    <row r="228" spans="1:20" ht="14.25" x14ac:dyDescent="0.2">
      <c r="A228" s="83"/>
      <c r="B228" s="522" t="s">
        <v>297</v>
      </c>
      <c r="C228" s="463"/>
      <c r="D228" s="463"/>
      <c r="E228" s="463"/>
      <c r="F228" s="463"/>
      <c r="G228" s="463"/>
      <c r="H228" s="463"/>
      <c r="I228" s="463"/>
      <c r="J228" s="463"/>
      <c r="K228" s="463"/>
      <c r="L228" s="463"/>
      <c r="M228" s="463"/>
      <c r="N228" s="463"/>
      <c r="O228" s="463"/>
      <c r="P228" s="464"/>
      <c r="Q228" s="63"/>
      <c r="R228" s="124" t="str">
        <f>IF(NOT(N243=7),"",IF(COUNTBLANK(J221:J221)=1,"O","P"))</f>
        <v/>
      </c>
      <c r="S228" s="112" t="str">
        <f>IF(NOT(N243=7),"","Exam Level")</f>
        <v/>
      </c>
      <c r="T228" s="64"/>
    </row>
    <row r="229" spans="1:20" ht="14.25" x14ac:dyDescent="0.2">
      <c r="A229" s="83"/>
      <c r="B229" s="465"/>
      <c r="C229" s="466"/>
      <c r="D229" s="466"/>
      <c r="E229" s="466"/>
      <c r="F229" s="466"/>
      <c r="G229" s="466"/>
      <c r="H229" s="466"/>
      <c r="I229" s="466"/>
      <c r="J229" s="466"/>
      <c r="K229" s="466"/>
      <c r="L229" s="466"/>
      <c r="M229" s="466"/>
      <c r="N229" s="466"/>
      <c r="O229" s="466"/>
      <c r="P229" s="467"/>
      <c r="Q229" s="63"/>
      <c r="R229" s="124" t="str">
        <f>IF(NOT(N243=7),"",IF(COUNTBLANK(D227:D227)=1,"O","P"))</f>
        <v/>
      </c>
      <c r="S229" s="109" t="str">
        <f>IF(NOT(N243=7),"","Gender")</f>
        <v/>
      </c>
      <c r="T229" s="64"/>
    </row>
    <row r="230" spans="1:20" ht="14.25" x14ac:dyDescent="0.2">
      <c r="A230" s="83"/>
      <c r="B230" s="432" t="s">
        <v>298</v>
      </c>
      <c r="C230" s="433"/>
      <c r="D230" s="434"/>
      <c r="E230" s="405"/>
      <c r="F230" s="406"/>
      <c r="G230" s="432" t="s">
        <v>299</v>
      </c>
      <c r="H230" s="433"/>
      <c r="I230" s="434"/>
      <c r="J230" s="405"/>
      <c r="K230" s="448"/>
      <c r="L230" s="406"/>
      <c r="M230" s="414" t="s">
        <v>300</v>
      </c>
      <c r="N230" s="415"/>
      <c r="O230" s="457"/>
      <c r="P230" s="458"/>
      <c r="Q230" s="63"/>
      <c r="R230" s="124" t="str">
        <f>IF(NOT(N243=7),"",IF(ISBLANK(H227),"O","P"))</f>
        <v/>
      </c>
      <c r="S230" s="109" t="str">
        <f>IF(NOT(N243=7),"","Height")</f>
        <v/>
      </c>
      <c r="T230" s="64"/>
    </row>
    <row r="231" spans="1:20" x14ac:dyDescent="0.2">
      <c r="A231" s="83"/>
      <c r="B231" s="77" t="s">
        <v>153</v>
      </c>
      <c r="C231" s="405"/>
      <c r="D231" s="406"/>
      <c r="E231" s="414" t="s">
        <v>301</v>
      </c>
      <c r="F231" s="415"/>
      <c r="G231" s="459"/>
      <c r="H231" s="460"/>
      <c r="I231" s="461"/>
      <c r="J231" s="414" t="s">
        <v>302</v>
      </c>
      <c r="K231" s="415"/>
      <c r="L231" s="454"/>
      <c r="M231" s="455"/>
      <c r="N231" s="455"/>
      <c r="O231" s="455"/>
      <c r="P231" s="456"/>
      <c r="Q231" s="63"/>
      <c r="R231" s="64"/>
      <c r="S231" s="64"/>
      <c r="T231" s="64"/>
    </row>
    <row r="232" spans="1:20" x14ac:dyDescent="0.2">
      <c r="A232" s="83"/>
      <c r="B232" s="410" t="s">
        <v>116</v>
      </c>
      <c r="C232" s="420"/>
      <c r="D232" s="420"/>
      <c r="E232" s="420"/>
      <c r="F232" s="420"/>
      <c r="G232" s="420"/>
      <c r="H232" s="420"/>
      <c r="I232" s="420"/>
      <c r="J232" s="420"/>
      <c r="K232" s="420"/>
      <c r="L232" s="420"/>
      <c r="M232" s="420"/>
      <c r="N232" s="420"/>
      <c r="O232" s="420"/>
      <c r="P232" s="411"/>
      <c r="Q232" s="63"/>
      <c r="R232" s="64"/>
      <c r="S232" s="64"/>
      <c r="T232" s="64"/>
    </row>
    <row r="233" spans="1:20" x14ac:dyDescent="0.2">
      <c r="A233" s="83"/>
      <c r="B233" s="410" t="s">
        <v>298</v>
      </c>
      <c r="C233" s="420"/>
      <c r="D233" s="411"/>
      <c r="E233" s="405"/>
      <c r="F233" s="406"/>
      <c r="G233" s="410" t="s">
        <v>299</v>
      </c>
      <c r="H233" s="420"/>
      <c r="I233" s="411"/>
      <c r="J233" s="454"/>
      <c r="K233" s="455"/>
      <c r="L233" s="456"/>
      <c r="M233" s="414" t="s">
        <v>300</v>
      </c>
      <c r="N233" s="415"/>
      <c r="O233" s="457"/>
      <c r="P233" s="458"/>
      <c r="Q233" s="63"/>
      <c r="R233" s="64"/>
    </row>
    <row r="234" spans="1:20" ht="13.5" thickBot="1" x14ac:dyDescent="0.25">
      <c r="A234" s="83"/>
      <c r="B234" s="78" t="s">
        <v>153</v>
      </c>
      <c r="C234" s="492"/>
      <c r="D234" s="493"/>
      <c r="E234" s="494" t="s">
        <v>301</v>
      </c>
      <c r="F234" s="495"/>
      <c r="G234" s="496"/>
      <c r="H234" s="497"/>
      <c r="I234" s="498"/>
      <c r="J234" s="414" t="s">
        <v>302</v>
      </c>
      <c r="K234" s="415"/>
      <c r="L234" s="454"/>
      <c r="M234" s="455"/>
      <c r="N234" s="455"/>
      <c r="O234" s="455"/>
      <c r="P234" s="456"/>
      <c r="Q234" s="63"/>
      <c r="R234" s="64"/>
    </row>
    <row r="235" spans="1:20" x14ac:dyDescent="0.2">
      <c r="A235" s="83"/>
      <c r="B235" s="499" t="s">
        <v>126</v>
      </c>
      <c r="C235" s="500"/>
      <c r="D235" s="500"/>
      <c r="E235" s="500"/>
      <c r="F235" s="500"/>
      <c r="G235" s="500"/>
      <c r="H235" s="500"/>
      <c r="I235" s="501"/>
      <c r="J235" s="505"/>
      <c r="K235" s="506"/>
      <c r="L235" s="506"/>
      <c r="M235" s="506"/>
      <c r="N235" s="506"/>
      <c r="O235" s="506"/>
      <c r="P235" s="507"/>
      <c r="Q235" s="63"/>
      <c r="R235" s="64"/>
    </row>
    <row r="236" spans="1:20" x14ac:dyDescent="0.2">
      <c r="A236" s="83"/>
      <c r="B236" s="502"/>
      <c r="C236" s="503"/>
      <c r="D236" s="503"/>
      <c r="E236" s="503"/>
      <c r="F236" s="503"/>
      <c r="G236" s="503"/>
      <c r="H236" s="503"/>
      <c r="I236" s="504"/>
      <c r="J236" s="508"/>
      <c r="K236" s="509"/>
      <c r="L236" s="509"/>
      <c r="M236" s="509"/>
      <c r="N236" s="509"/>
      <c r="O236" s="509"/>
      <c r="P236" s="510"/>
      <c r="Q236" s="63"/>
      <c r="R236" s="64"/>
    </row>
    <row r="237" spans="1:20" x14ac:dyDescent="0.2">
      <c r="A237" s="83"/>
      <c r="B237" s="514" t="s">
        <v>127</v>
      </c>
      <c r="C237" s="515"/>
      <c r="D237" s="515"/>
      <c r="E237" s="515"/>
      <c r="F237" s="515"/>
      <c r="G237" s="515"/>
      <c r="H237" s="515"/>
      <c r="I237" s="516"/>
      <c r="J237" s="508"/>
      <c r="K237" s="509"/>
      <c r="L237" s="509"/>
      <c r="M237" s="509"/>
      <c r="N237" s="509"/>
      <c r="O237" s="509"/>
      <c r="P237" s="510"/>
      <c r="Q237" s="63"/>
      <c r="R237" s="64"/>
    </row>
    <row r="238" spans="1:20" ht="13.5" thickBot="1" x14ac:dyDescent="0.25">
      <c r="A238" s="83"/>
      <c r="B238" s="517"/>
      <c r="C238" s="518"/>
      <c r="D238" s="518"/>
      <c r="E238" s="518"/>
      <c r="F238" s="518"/>
      <c r="G238" s="518"/>
      <c r="H238" s="518"/>
      <c r="I238" s="519"/>
      <c r="J238" s="511"/>
      <c r="K238" s="512"/>
      <c r="L238" s="512"/>
      <c r="M238" s="512"/>
      <c r="N238" s="512"/>
      <c r="O238" s="512"/>
      <c r="P238" s="513"/>
      <c r="Q238" s="63"/>
      <c r="R238" s="64"/>
    </row>
    <row r="239" spans="1:20" x14ac:dyDescent="0.2">
      <c r="A239" s="83"/>
      <c r="B239" s="480" t="s">
        <v>10</v>
      </c>
      <c r="C239" s="481"/>
      <c r="D239" s="481"/>
      <c r="E239" s="481"/>
      <c r="F239" s="481"/>
      <c r="G239" s="481"/>
      <c r="H239" s="481"/>
      <c r="I239" s="482"/>
      <c r="J239" s="79">
        <v>1</v>
      </c>
      <c r="K239" s="483"/>
      <c r="L239" s="484"/>
      <c r="M239" s="484"/>
      <c r="N239" s="484"/>
      <c r="O239" s="484"/>
      <c r="P239" s="485"/>
      <c r="Q239" s="63"/>
      <c r="R239" s="64"/>
    </row>
    <row r="240" spans="1:20" x14ac:dyDescent="0.2">
      <c r="A240" s="83"/>
      <c r="B240" s="486" t="s">
        <v>276</v>
      </c>
      <c r="C240" s="487"/>
      <c r="D240" s="487"/>
      <c r="E240" s="487"/>
      <c r="F240" s="487"/>
      <c r="G240" s="487"/>
      <c r="H240" s="487"/>
      <c r="I240" s="488"/>
      <c r="J240" s="80">
        <v>2</v>
      </c>
      <c r="K240" s="454"/>
      <c r="L240" s="455"/>
      <c r="M240" s="455"/>
      <c r="N240" s="455"/>
      <c r="O240" s="455"/>
      <c r="P240" s="456"/>
      <c r="Q240" s="63"/>
      <c r="R240" s="64"/>
    </row>
    <row r="241" spans="1:20" x14ac:dyDescent="0.2">
      <c r="A241" s="83"/>
      <c r="B241" s="489" t="s">
        <v>234</v>
      </c>
      <c r="C241" s="490"/>
      <c r="D241" s="490"/>
      <c r="E241" s="490"/>
      <c r="F241" s="490"/>
      <c r="G241" s="490"/>
      <c r="H241" s="490"/>
      <c r="I241" s="491"/>
      <c r="J241" s="80">
        <v>3</v>
      </c>
      <c r="K241" s="454"/>
      <c r="L241" s="455"/>
      <c r="M241" s="455"/>
      <c r="N241" s="455"/>
      <c r="O241" s="455"/>
      <c r="P241" s="456"/>
      <c r="Q241" s="63"/>
      <c r="R241" s="64"/>
    </row>
    <row r="242" spans="1:20" x14ac:dyDescent="0.2">
      <c r="A242" s="83"/>
      <c r="B242" s="468"/>
      <c r="C242" s="468"/>
      <c r="D242" s="468"/>
      <c r="E242" s="468"/>
      <c r="F242" s="468"/>
      <c r="G242" s="468"/>
      <c r="H242" s="468"/>
      <c r="I242" s="468"/>
      <c r="J242" s="468"/>
      <c r="K242" s="468"/>
      <c r="L242" s="468"/>
      <c r="M242" s="468"/>
      <c r="N242" s="468"/>
      <c r="O242" s="468"/>
      <c r="P242" s="468"/>
      <c r="Q242" s="63"/>
      <c r="R242" s="64"/>
    </row>
    <row r="243" spans="1:20" ht="12" customHeight="1" x14ac:dyDescent="0.2">
      <c r="A243" s="83"/>
      <c r="B243" s="469" t="s">
        <v>84</v>
      </c>
      <c r="C243" s="471" t="str">
        <f>IF(CODE(B243)=89,"This candidate would like to receive Special","This candidate would not like to receive Special")</f>
        <v>This candidate would like to receive Special</v>
      </c>
      <c r="D243" s="472"/>
      <c r="E243" s="472"/>
      <c r="F243" s="472"/>
      <c r="G243" s="472"/>
      <c r="H243" s="472"/>
      <c r="I243" s="473"/>
      <c r="J243" s="81"/>
      <c r="K243" s="474" t="s">
        <v>283</v>
      </c>
      <c r="L243" s="474"/>
      <c r="M243" s="475"/>
      <c r="N243" s="51" t="str">
        <f>IF($P$33&gt;=7,7,"")</f>
        <v/>
      </c>
      <c r="O243" s="62" t="s">
        <v>52</v>
      </c>
      <c r="P243" s="51" t="str">
        <f>IF($P$33&gt;=7,$P$33,"")</f>
        <v/>
      </c>
      <c r="Q243" s="63"/>
      <c r="R243" s="64"/>
    </row>
    <row r="244" spans="1:20" ht="12" customHeight="1" x14ac:dyDescent="0.2">
      <c r="A244" s="83"/>
      <c r="B244" s="470"/>
      <c r="C244" s="476" t="str">
        <f>IF(CODE(B243)=89,"Announcements and Bulletins from RAD Canada","Announcements and Bulletins from RAD Canada")</f>
        <v>Announcements and Bulletins from RAD Canada</v>
      </c>
      <c r="D244" s="477"/>
      <c r="E244" s="477"/>
      <c r="F244" s="477"/>
      <c r="G244" s="477"/>
      <c r="H244" s="477"/>
      <c r="I244" s="478"/>
      <c r="J244" s="479"/>
      <c r="K244" s="400"/>
      <c r="L244" s="400"/>
      <c r="M244" s="400"/>
      <c r="N244" s="400"/>
      <c r="O244" s="400"/>
      <c r="P244" s="400"/>
      <c r="Q244" s="63"/>
      <c r="R244" s="64"/>
    </row>
    <row r="245" spans="1:20" x14ac:dyDescent="0.2">
      <c r="A245" s="83"/>
      <c r="B245" s="400"/>
      <c r="C245" s="400"/>
      <c r="D245" s="400"/>
      <c r="E245" s="400"/>
      <c r="F245" s="400"/>
      <c r="G245" s="400"/>
      <c r="H245" s="400"/>
      <c r="I245" s="400"/>
      <c r="J245" s="400"/>
      <c r="K245" s="400"/>
      <c r="L245" s="400"/>
      <c r="M245" s="400"/>
      <c r="N245" s="400"/>
      <c r="O245" s="400"/>
      <c r="P245" s="400"/>
      <c r="Q245" s="63"/>
      <c r="R245" s="64"/>
    </row>
    <row r="246" spans="1:20" x14ac:dyDescent="0.2">
      <c r="A246" s="83"/>
      <c r="B246" s="62"/>
      <c r="C246" s="62"/>
      <c r="D246" s="62"/>
      <c r="E246" s="62"/>
      <c r="F246" s="62"/>
      <c r="G246" s="62"/>
      <c r="H246" s="62"/>
      <c r="I246" s="62"/>
      <c r="J246" s="62"/>
      <c r="K246" s="62"/>
      <c r="L246" s="62"/>
      <c r="M246" s="62"/>
      <c r="N246" s="62"/>
      <c r="O246" s="62"/>
      <c r="P246" s="62"/>
      <c r="Q246" s="63"/>
      <c r="R246" s="64"/>
    </row>
    <row r="247" spans="1:20" x14ac:dyDescent="0.2">
      <c r="A247" s="83"/>
      <c r="B247" s="401" t="s">
        <v>281</v>
      </c>
      <c r="C247" s="402"/>
      <c r="D247" s="402"/>
      <c r="E247" s="402"/>
      <c r="F247" s="402"/>
      <c r="G247" s="402"/>
      <c r="H247" s="62"/>
      <c r="I247" s="62"/>
      <c r="J247" s="62"/>
      <c r="K247" s="62"/>
      <c r="L247" s="62"/>
      <c r="M247" s="62"/>
      <c r="N247" s="62"/>
      <c r="O247" s="62"/>
      <c r="P247" s="62"/>
      <c r="Q247" s="63"/>
      <c r="R247" s="64"/>
    </row>
    <row r="248" spans="1:20" ht="15.75" x14ac:dyDescent="0.25">
      <c r="A248" s="83"/>
      <c r="B248" s="402"/>
      <c r="C248" s="402"/>
      <c r="D248" s="402"/>
      <c r="E248" s="402"/>
      <c r="F248" s="402"/>
      <c r="G248" s="402"/>
      <c r="H248" s="82"/>
      <c r="I248" s="403"/>
      <c r="J248" s="403"/>
      <c r="K248" s="403"/>
      <c r="L248" s="403"/>
      <c r="M248" s="403"/>
      <c r="N248" s="403"/>
      <c r="O248" s="403"/>
      <c r="P248" s="403"/>
      <c r="Q248" s="63"/>
      <c r="R248" s="64"/>
    </row>
    <row r="249" spans="1:20" x14ac:dyDescent="0.2">
      <c r="A249" s="83"/>
      <c r="B249" s="400"/>
      <c r="C249" s="400"/>
      <c r="D249" s="400"/>
      <c r="E249" s="400"/>
      <c r="F249" s="400"/>
      <c r="G249" s="400"/>
      <c r="H249" s="400"/>
      <c r="I249" s="400"/>
      <c r="J249" s="400"/>
      <c r="K249" s="400"/>
      <c r="L249" s="400"/>
      <c r="M249" s="403"/>
      <c r="N249" s="403"/>
      <c r="O249" s="403"/>
      <c r="P249" s="403"/>
      <c r="Q249" s="63"/>
      <c r="R249" s="64"/>
    </row>
    <row r="250" spans="1:20" x14ac:dyDescent="0.2">
      <c r="A250" s="83"/>
      <c r="B250" s="404" t="s">
        <v>260</v>
      </c>
      <c r="C250" s="404"/>
      <c r="D250" s="404"/>
      <c r="E250" s="404"/>
      <c r="F250" s="400"/>
      <c r="G250" s="400"/>
      <c r="H250" s="400"/>
      <c r="I250" s="400"/>
      <c r="J250" s="400"/>
      <c r="K250" s="400"/>
      <c r="L250" s="400"/>
      <c r="M250" s="403"/>
      <c r="N250" s="403"/>
      <c r="O250" s="403"/>
      <c r="P250" s="403"/>
      <c r="Q250" s="63"/>
      <c r="R250" s="64"/>
    </row>
    <row r="251" spans="1:20" x14ac:dyDescent="0.2">
      <c r="A251" s="83"/>
      <c r="B251" s="69"/>
      <c r="C251" s="324" t="s">
        <v>75</v>
      </c>
      <c r="D251" s="408"/>
      <c r="E251" s="409"/>
      <c r="F251" s="400"/>
      <c r="G251" s="400"/>
      <c r="H251" s="400"/>
      <c r="I251" s="400"/>
      <c r="J251" s="400"/>
      <c r="K251" s="400"/>
      <c r="L251" s="400"/>
      <c r="M251" s="70"/>
      <c r="N251" s="70"/>
      <c r="O251" s="70"/>
      <c r="P251" s="70"/>
      <c r="Q251" s="63"/>
      <c r="R251" s="64"/>
    </row>
    <row r="252" spans="1:20" x14ac:dyDescent="0.2">
      <c r="A252" s="83"/>
      <c r="B252" s="71"/>
      <c r="C252" s="324" t="s">
        <v>128</v>
      </c>
      <c r="D252" s="408"/>
      <c r="E252" s="409"/>
      <c r="F252" s="400"/>
      <c r="G252" s="400"/>
      <c r="H252" s="400"/>
      <c r="I252" s="400"/>
      <c r="J252" s="400"/>
      <c r="K252" s="400"/>
      <c r="L252" s="400"/>
      <c r="M252" s="407" t="s">
        <v>256</v>
      </c>
      <c r="N252" s="407"/>
      <c r="O252" s="407"/>
      <c r="P252" s="407"/>
      <c r="Q252" s="63"/>
      <c r="R252" s="64"/>
    </row>
    <row r="253" spans="1:20" x14ac:dyDescent="0.2">
      <c r="A253" s="83"/>
      <c r="B253" s="56"/>
      <c r="C253" s="324" t="s">
        <v>282</v>
      </c>
      <c r="D253" s="408"/>
      <c r="E253" s="409"/>
      <c r="F253" s="400"/>
      <c r="G253" s="400"/>
      <c r="H253" s="400"/>
      <c r="I253" s="400"/>
      <c r="J253" s="400"/>
      <c r="K253" s="400"/>
      <c r="L253" s="400"/>
      <c r="M253" s="407"/>
      <c r="N253" s="407"/>
      <c r="O253" s="407"/>
      <c r="P253" s="407"/>
      <c r="Q253" s="63"/>
      <c r="R253" s="64"/>
    </row>
    <row r="254" spans="1:20" x14ac:dyDescent="0.2">
      <c r="A254" s="83"/>
      <c r="B254" s="520"/>
      <c r="C254" s="520"/>
      <c r="D254" s="520"/>
      <c r="E254" s="520"/>
      <c r="F254" s="520"/>
      <c r="G254" s="520"/>
      <c r="H254" s="520"/>
      <c r="I254" s="520"/>
      <c r="J254" s="520"/>
      <c r="K254" s="520"/>
      <c r="L254" s="520"/>
      <c r="M254" s="520"/>
      <c r="N254" s="520"/>
      <c r="O254" s="520"/>
      <c r="P254" s="520"/>
      <c r="Q254" s="63"/>
      <c r="R254" s="64"/>
    </row>
    <row r="255" spans="1:20" x14ac:dyDescent="0.2">
      <c r="A255" s="83"/>
      <c r="B255" s="432" t="s">
        <v>117</v>
      </c>
      <c r="C255" s="433"/>
      <c r="D255" s="434"/>
      <c r="E255" s="442" t="str">
        <f>IF(AND($P$33&gt;=8,NOT(ISBLANK($E$10))),$E$10,"")</f>
        <v/>
      </c>
      <c r="F255" s="443"/>
      <c r="G255" s="444"/>
      <c r="H255" s="414" t="s">
        <v>124</v>
      </c>
      <c r="I255" s="415"/>
      <c r="J255" s="442" t="str">
        <f>IF(AND($P$33&gt;=8,NOT(ISBLANK($J$10))),$J$10,"")</f>
        <v/>
      </c>
      <c r="K255" s="443"/>
      <c r="L255" s="444"/>
      <c r="M255" s="414" t="s">
        <v>118</v>
      </c>
      <c r="N255" s="415"/>
      <c r="O255" s="430" t="str">
        <f>IF(AND($P$33&gt;=8,NOT(ISBLANK($O$10))),$O$10,"")</f>
        <v/>
      </c>
      <c r="P255" s="521"/>
      <c r="Q255" s="63"/>
      <c r="R255" s="545" t="s">
        <v>307</v>
      </c>
      <c r="S255" s="546"/>
      <c r="T255" s="547"/>
    </row>
    <row r="256" spans="1:20" x14ac:dyDescent="0.2">
      <c r="A256" s="83"/>
      <c r="B256" s="432" t="s">
        <v>240</v>
      </c>
      <c r="C256" s="433"/>
      <c r="D256" s="434"/>
      <c r="E256" s="435" t="str">
        <f>IF(NOT($N278=8),"",IF(ISERROR(LOOKUP(8,'Teacher Summary Sheet'!$M$19:$M$181)),"",IF(VLOOKUP(8,'Teacher Summary Sheet'!$M$19:$R$181,2)=0,"",VLOOKUP(8,'Teacher Summary Sheet'!$M$19:$R$181,2))))</f>
        <v/>
      </c>
      <c r="F256" s="436"/>
      <c r="G256" s="437"/>
      <c r="H256" s="438" t="s">
        <v>119</v>
      </c>
      <c r="I256" s="439"/>
      <c r="J256" s="102" t="str">
        <f>IF(NOT($N278=8),"",IF(ISERROR(LOOKUP(8,'Teacher Summary Sheet'!$M$19:$M$181)),"",IF(VLOOKUP(8,'Teacher Summary Sheet'!$M$19:$R$181,6)=0,"",VLOOKUP(8,'Teacher Summary Sheet'!$M$19:$R$181,6))))</f>
        <v/>
      </c>
      <c r="K256" s="414" t="s">
        <v>179</v>
      </c>
      <c r="L256" s="419"/>
      <c r="M256" s="415"/>
      <c r="N256" s="412" t="str">
        <f>IF(NOT($N278=8),"",IF(ISERROR(LOOKUP(8,'Teacher Summary Sheet'!$M$19:$M$181)),"",IF('Teacher Summary Sheet'!$F$31=0,"",'Teacher Summary Sheet'!$F$31)))</f>
        <v/>
      </c>
      <c r="O256" s="440"/>
      <c r="P256" s="413"/>
      <c r="Q256" s="63"/>
      <c r="R256" s="548"/>
      <c r="S256" s="549"/>
      <c r="T256" s="550"/>
    </row>
    <row r="257" spans="1:20" ht="14.25" x14ac:dyDescent="0.2">
      <c r="A257" s="83"/>
      <c r="B257" s="410" t="s">
        <v>241</v>
      </c>
      <c r="C257" s="420"/>
      <c r="D257" s="411"/>
      <c r="E257" s="421" t="str">
        <f>IF(NOT($N278=8),"",IF(ISERROR(LOOKUP(8,'Teacher Summary Sheet'!$M$19:$M$181)),"",IF(VLOOKUP(8,'Teacher Summary Sheet'!$M$19:$R$181,3)=0,"",VLOOKUP(8,'Teacher Summary Sheet'!$M$19:$R$181,3))))</f>
        <v/>
      </c>
      <c r="F257" s="422"/>
      <c r="G257" s="422"/>
      <c r="H257" s="422"/>
      <c r="I257" s="423"/>
      <c r="J257" s="414" t="s">
        <v>124</v>
      </c>
      <c r="K257" s="415"/>
      <c r="L257" s="424" t="str">
        <f>IF(NOT($N278=8),"",IF(ISERROR(LOOKUP(8,'Teacher Summary Sheet'!$M$19:$M$181)),"",IF(VLOOKUP(8,'Teacher Summary Sheet'!$M$19:$R$181,4)=0,"",VLOOKUP(8,'Teacher Summary Sheet'!$M$19:$R$181,4))))</f>
        <v/>
      </c>
      <c r="M257" s="425"/>
      <c r="N257" s="425"/>
      <c r="O257" s="425"/>
      <c r="P257" s="426"/>
      <c r="Q257" s="63"/>
      <c r="R257" s="125" t="str">
        <f>IF(NOT(N278=8),"",IF(COUNTIF(R259:R265,"P")=7,"P","O"))</f>
        <v/>
      </c>
      <c r="S257" s="110" t="str">
        <f>IF(NOT(N278=8),"",IF(COUNTIF(R259:R265,"P")=7,"Complete","Incomplete"))</f>
        <v/>
      </c>
      <c r="T257" s="111"/>
    </row>
    <row r="258" spans="1:20" x14ac:dyDescent="0.2">
      <c r="A258" s="83"/>
      <c r="B258" s="410" t="s">
        <v>120</v>
      </c>
      <c r="C258" s="420"/>
      <c r="D258" s="411"/>
      <c r="E258" s="427"/>
      <c r="F258" s="428"/>
      <c r="G258" s="428"/>
      <c r="H258" s="428"/>
      <c r="I258" s="428"/>
      <c r="J258" s="429"/>
      <c r="K258" s="62" t="s">
        <v>121</v>
      </c>
      <c r="L258" s="427"/>
      <c r="M258" s="428"/>
      <c r="N258" s="428"/>
      <c r="O258" s="428"/>
      <c r="P258" s="429"/>
      <c r="Q258" s="63"/>
    </row>
    <row r="259" spans="1:20" ht="14.25" x14ac:dyDescent="0.2">
      <c r="A259" s="83"/>
      <c r="B259" s="410" t="s">
        <v>196</v>
      </c>
      <c r="C259" s="420"/>
      <c r="D259" s="411"/>
      <c r="E259" s="427"/>
      <c r="F259" s="428"/>
      <c r="G259" s="428"/>
      <c r="H259" s="428"/>
      <c r="I259" s="429"/>
      <c r="J259" s="73" t="s">
        <v>197</v>
      </c>
      <c r="K259" s="405"/>
      <c r="L259" s="406"/>
      <c r="M259" s="414" t="s">
        <v>212</v>
      </c>
      <c r="N259" s="415"/>
      <c r="O259" s="405"/>
      <c r="P259" s="406"/>
      <c r="Q259" s="63"/>
      <c r="R259" s="124" t="str">
        <f>IF(NOT(N278=8),"",IF(OR(COUNTBLANK(E257:E257)=1,COUNTBLANK(L257:L257)=1),"O","P"))</f>
        <v/>
      </c>
      <c r="S259" s="108" t="str">
        <f>IF(NOT(N278=8),"","Candidate Name")</f>
        <v/>
      </c>
      <c r="T259" s="64"/>
    </row>
    <row r="260" spans="1:20" ht="14.25" x14ac:dyDescent="0.2">
      <c r="A260" s="83"/>
      <c r="B260" s="410" t="s">
        <v>198</v>
      </c>
      <c r="C260" s="420"/>
      <c r="D260" s="411"/>
      <c r="E260" s="454"/>
      <c r="F260" s="455"/>
      <c r="G260" s="455"/>
      <c r="H260" s="456"/>
      <c r="I260" s="74" t="s">
        <v>199</v>
      </c>
      <c r="J260" s="427"/>
      <c r="K260" s="428"/>
      <c r="L260" s="428"/>
      <c r="M260" s="428"/>
      <c r="N260" s="428"/>
      <c r="O260" s="428"/>
      <c r="P260" s="429"/>
      <c r="Q260" s="63"/>
      <c r="R260" s="124" t="str">
        <f>IF(NOT(N278=8),"",IF(COUNTBLANK(E256:E256)=1,"O","P"))</f>
        <v/>
      </c>
      <c r="S260" s="108" t="str">
        <f>IF(NOT(N278=8),"","Candidate ID")</f>
        <v/>
      </c>
      <c r="T260" s="64"/>
    </row>
    <row r="261" spans="1:20" ht="14.25" x14ac:dyDescent="0.2">
      <c r="A261" s="83"/>
      <c r="B261" s="410" t="s">
        <v>227</v>
      </c>
      <c r="C261" s="420"/>
      <c r="D261" s="411"/>
      <c r="E261" s="75" t="s">
        <v>218</v>
      </c>
      <c r="F261" s="405"/>
      <c r="G261" s="448"/>
      <c r="H261" s="75" t="s">
        <v>138</v>
      </c>
      <c r="I261" s="449"/>
      <c r="J261" s="450"/>
      <c r="K261" s="76" t="s">
        <v>139</v>
      </c>
      <c r="L261" s="451"/>
      <c r="M261" s="452"/>
      <c r="N261" s="76" t="s">
        <v>228</v>
      </c>
      <c r="O261" s="453" t="str">
        <f ca="1">IF(OR(ISBLANK(L261),ISBLANK(I261),ISBLANK(F261),COUNTBLANK(J256:J256)=1),"",IF(DATEDIF(DATE(L261,VLOOKUP(I261,data!$T$2:$U$13,2,FALSE),F261),IF(AND(TODAY()&lt;data!$AJ$12,TODAY()&gt;data!$AI$12),data!$AI$3,data!$AJ$3),"Y")&gt;=data!$AC$10,YEAR(TODAY())-L261,data!$AD$3))</f>
        <v/>
      </c>
      <c r="P261" s="413"/>
      <c r="Q261" s="63"/>
      <c r="R261" s="124" t="str">
        <f>IF(NOT(N278=8),"",IF(OR(ISBLANK(E258),ISBLANK(L258),ISBLANK(K259),ISBLANK(O259)),"O","P"))</f>
        <v/>
      </c>
      <c r="S261" s="108" t="str">
        <f>IF(NOT(N278=8),"","Address")</f>
        <v/>
      </c>
      <c r="T261" s="64"/>
    </row>
    <row r="262" spans="1:20" ht="15" thickBot="1" x14ac:dyDescent="0.25">
      <c r="A262" s="83"/>
      <c r="B262" s="410" t="s">
        <v>214</v>
      </c>
      <c r="C262" s="411"/>
      <c r="D262" s="412" t="str">
        <f>IF(NOT($N278=8),"",IF(ISERROR(LOOKUP(8,'Teacher Summary Sheet'!$M$19:$M$181)),"",IF(VLOOKUP(8,'Teacher Summary Sheet'!$M$19:$R$181,5)=0,"",VLOOKUP(8,'Teacher Summary Sheet'!$M$19:$R$181,5))))</f>
        <v/>
      </c>
      <c r="E262" s="413"/>
      <c r="F262" s="414" t="s">
        <v>319</v>
      </c>
      <c r="G262" s="415"/>
      <c r="H262" s="416"/>
      <c r="I262" s="417"/>
      <c r="J262" s="418"/>
      <c r="K262" s="414" t="s">
        <v>320</v>
      </c>
      <c r="L262" s="419"/>
      <c r="M262" s="419"/>
      <c r="N262" s="415"/>
      <c r="O262" s="405" t="s">
        <v>268</v>
      </c>
      <c r="P262" s="406"/>
      <c r="Q262" s="63"/>
      <c r="R262" s="124" t="str">
        <f>IF(NOT(N278=8),"",IF(OR(ISBLANK(F261),ISBLANK(I261),ISBLANK(L261)),"O","P"))</f>
        <v/>
      </c>
      <c r="S262" s="108" t="str">
        <f>IF(NOT(N278=8),"","Date of Birth")</f>
        <v/>
      </c>
      <c r="T262" s="64"/>
    </row>
    <row r="263" spans="1:20" ht="14.25" x14ac:dyDescent="0.2">
      <c r="A263" s="83"/>
      <c r="B263" s="522" t="s">
        <v>297</v>
      </c>
      <c r="C263" s="463"/>
      <c r="D263" s="463"/>
      <c r="E263" s="463"/>
      <c r="F263" s="463"/>
      <c r="G263" s="463"/>
      <c r="H263" s="463"/>
      <c r="I263" s="463"/>
      <c r="J263" s="463"/>
      <c r="K263" s="463"/>
      <c r="L263" s="463"/>
      <c r="M263" s="463"/>
      <c r="N263" s="463"/>
      <c r="O263" s="463"/>
      <c r="P263" s="464"/>
      <c r="Q263" s="63"/>
      <c r="R263" s="124" t="str">
        <f>IF(NOT(N278=8),"",IF(COUNTBLANK(J256:J256)=1,"O","P"))</f>
        <v/>
      </c>
      <c r="S263" s="112" t="str">
        <f>IF(NOT(N278=8),"","Exam Level")</f>
        <v/>
      </c>
      <c r="T263" s="64"/>
    </row>
    <row r="264" spans="1:20" ht="14.25" x14ac:dyDescent="0.2">
      <c r="A264" s="83"/>
      <c r="B264" s="465"/>
      <c r="C264" s="466"/>
      <c r="D264" s="466"/>
      <c r="E264" s="466"/>
      <c r="F264" s="466"/>
      <c r="G264" s="466"/>
      <c r="H264" s="466"/>
      <c r="I264" s="466"/>
      <c r="J264" s="466"/>
      <c r="K264" s="466"/>
      <c r="L264" s="466"/>
      <c r="M264" s="466"/>
      <c r="N264" s="466"/>
      <c r="O264" s="466"/>
      <c r="P264" s="467"/>
      <c r="Q264" s="63"/>
      <c r="R264" s="124" t="str">
        <f>IF(NOT(N278=8),"",IF(COUNTBLANK(D262:D262)=1,"O","P"))</f>
        <v/>
      </c>
      <c r="S264" s="109" t="str">
        <f>IF(NOT(N278=8),"","Gender")</f>
        <v/>
      </c>
      <c r="T264" s="64"/>
    </row>
    <row r="265" spans="1:20" ht="14.25" x14ac:dyDescent="0.2">
      <c r="A265" s="83"/>
      <c r="B265" s="432" t="s">
        <v>298</v>
      </c>
      <c r="C265" s="433"/>
      <c r="D265" s="434"/>
      <c r="E265" s="405"/>
      <c r="F265" s="406"/>
      <c r="G265" s="432" t="s">
        <v>299</v>
      </c>
      <c r="H265" s="433"/>
      <c r="I265" s="434"/>
      <c r="J265" s="405"/>
      <c r="K265" s="448"/>
      <c r="L265" s="406"/>
      <c r="M265" s="414" t="s">
        <v>300</v>
      </c>
      <c r="N265" s="415"/>
      <c r="O265" s="457"/>
      <c r="P265" s="458"/>
      <c r="Q265" s="63"/>
      <c r="R265" s="124" t="str">
        <f>IF(NOT(N278=8),"",IF(ISBLANK(H262),"O","P"))</f>
        <v/>
      </c>
      <c r="S265" s="109" t="str">
        <f>IF(NOT(N278=8),"","Height")</f>
        <v/>
      </c>
      <c r="T265" s="64"/>
    </row>
    <row r="266" spans="1:20" x14ac:dyDescent="0.2">
      <c r="A266" s="83"/>
      <c r="B266" s="77" t="s">
        <v>153</v>
      </c>
      <c r="C266" s="405"/>
      <c r="D266" s="406"/>
      <c r="E266" s="414" t="s">
        <v>301</v>
      </c>
      <c r="F266" s="415"/>
      <c r="G266" s="459"/>
      <c r="H266" s="460"/>
      <c r="I266" s="461"/>
      <c r="J266" s="414" t="s">
        <v>302</v>
      </c>
      <c r="K266" s="415"/>
      <c r="L266" s="454"/>
      <c r="M266" s="455"/>
      <c r="N266" s="455"/>
      <c r="O266" s="455"/>
      <c r="P266" s="456"/>
      <c r="Q266" s="63"/>
      <c r="R266" s="64"/>
      <c r="S266" s="64"/>
      <c r="T266" s="64"/>
    </row>
    <row r="267" spans="1:20" x14ac:dyDescent="0.2">
      <c r="A267" s="83"/>
      <c r="B267" s="410" t="s">
        <v>116</v>
      </c>
      <c r="C267" s="420"/>
      <c r="D267" s="420"/>
      <c r="E267" s="420"/>
      <c r="F267" s="420"/>
      <c r="G267" s="420"/>
      <c r="H267" s="420"/>
      <c r="I267" s="420"/>
      <c r="J267" s="420"/>
      <c r="K267" s="420"/>
      <c r="L267" s="420"/>
      <c r="M267" s="420"/>
      <c r="N267" s="420"/>
      <c r="O267" s="420"/>
      <c r="P267" s="411"/>
      <c r="Q267" s="63"/>
      <c r="R267" s="64"/>
      <c r="S267" s="64"/>
      <c r="T267" s="64"/>
    </row>
    <row r="268" spans="1:20" x14ac:dyDescent="0.2">
      <c r="A268" s="83"/>
      <c r="B268" s="410" t="s">
        <v>298</v>
      </c>
      <c r="C268" s="420"/>
      <c r="D268" s="411"/>
      <c r="E268" s="405"/>
      <c r="F268" s="406"/>
      <c r="G268" s="410" t="s">
        <v>299</v>
      </c>
      <c r="H268" s="420"/>
      <c r="I268" s="411"/>
      <c r="J268" s="454"/>
      <c r="K268" s="455"/>
      <c r="L268" s="456"/>
      <c r="M268" s="414" t="s">
        <v>300</v>
      </c>
      <c r="N268" s="415"/>
      <c r="O268" s="457"/>
      <c r="P268" s="458"/>
      <c r="Q268" s="63"/>
      <c r="R268" s="64"/>
    </row>
    <row r="269" spans="1:20" ht="13.5" thickBot="1" x14ac:dyDescent="0.25">
      <c r="A269" s="83"/>
      <c r="B269" s="78" t="s">
        <v>153</v>
      </c>
      <c r="C269" s="492"/>
      <c r="D269" s="493"/>
      <c r="E269" s="494" t="s">
        <v>301</v>
      </c>
      <c r="F269" s="495"/>
      <c r="G269" s="496"/>
      <c r="H269" s="497"/>
      <c r="I269" s="498"/>
      <c r="J269" s="414" t="s">
        <v>302</v>
      </c>
      <c r="K269" s="415"/>
      <c r="L269" s="454"/>
      <c r="M269" s="455"/>
      <c r="N269" s="455"/>
      <c r="O269" s="455"/>
      <c r="P269" s="456"/>
      <c r="Q269" s="63"/>
      <c r="R269" s="64"/>
    </row>
    <row r="270" spans="1:20" x14ac:dyDescent="0.2">
      <c r="A270" s="83"/>
      <c r="B270" s="499" t="s">
        <v>126</v>
      </c>
      <c r="C270" s="500"/>
      <c r="D270" s="500"/>
      <c r="E270" s="500"/>
      <c r="F270" s="500"/>
      <c r="G270" s="500"/>
      <c r="H270" s="500"/>
      <c r="I270" s="501"/>
      <c r="J270" s="505"/>
      <c r="K270" s="506"/>
      <c r="L270" s="506"/>
      <c r="M270" s="506"/>
      <c r="N270" s="506"/>
      <c r="O270" s="506"/>
      <c r="P270" s="507"/>
      <c r="Q270" s="63"/>
      <c r="R270" s="64"/>
    </row>
    <row r="271" spans="1:20" x14ac:dyDescent="0.2">
      <c r="A271" s="83"/>
      <c r="B271" s="502"/>
      <c r="C271" s="503"/>
      <c r="D271" s="503"/>
      <c r="E271" s="503"/>
      <c r="F271" s="503"/>
      <c r="G271" s="503"/>
      <c r="H271" s="503"/>
      <c r="I271" s="504"/>
      <c r="J271" s="508"/>
      <c r="K271" s="509"/>
      <c r="L271" s="509"/>
      <c r="M271" s="509"/>
      <c r="N271" s="509"/>
      <c r="O271" s="509"/>
      <c r="P271" s="510"/>
      <c r="Q271" s="63"/>
      <c r="R271" s="64"/>
    </row>
    <row r="272" spans="1:20" x14ac:dyDescent="0.2">
      <c r="A272" s="83"/>
      <c r="B272" s="514" t="s">
        <v>127</v>
      </c>
      <c r="C272" s="515"/>
      <c r="D272" s="515"/>
      <c r="E272" s="515"/>
      <c r="F272" s="515"/>
      <c r="G272" s="515"/>
      <c r="H272" s="515"/>
      <c r="I272" s="516"/>
      <c r="J272" s="508"/>
      <c r="K272" s="509"/>
      <c r="L272" s="509"/>
      <c r="M272" s="509"/>
      <c r="N272" s="509"/>
      <c r="O272" s="509"/>
      <c r="P272" s="510"/>
      <c r="Q272" s="63"/>
      <c r="R272" s="64"/>
    </row>
    <row r="273" spans="1:18" ht="13.5" thickBot="1" x14ac:dyDescent="0.25">
      <c r="A273" s="83"/>
      <c r="B273" s="517"/>
      <c r="C273" s="518"/>
      <c r="D273" s="518"/>
      <c r="E273" s="518"/>
      <c r="F273" s="518"/>
      <c r="G273" s="518"/>
      <c r="H273" s="518"/>
      <c r="I273" s="519"/>
      <c r="J273" s="511"/>
      <c r="K273" s="512"/>
      <c r="L273" s="512"/>
      <c r="M273" s="512"/>
      <c r="N273" s="512"/>
      <c r="O273" s="512"/>
      <c r="P273" s="513"/>
      <c r="Q273" s="63"/>
      <c r="R273" s="64"/>
    </row>
    <row r="274" spans="1:18" x14ac:dyDescent="0.2">
      <c r="A274" s="83"/>
      <c r="B274" s="480" t="s">
        <v>10</v>
      </c>
      <c r="C274" s="481"/>
      <c r="D274" s="481"/>
      <c r="E274" s="481"/>
      <c r="F274" s="481"/>
      <c r="G274" s="481"/>
      <c r="H274" s="481"/>
      <c r="I274" s="482"/>
      <c r="J274" s="79">
        <v>1</v>
      </c>
      <c r="K274" s="483"/>
      <c r="L274" s="484"/>
      <c r="M274" s="484"/>
      <c r="N274" s="484"/>
      <c r="O274" s="484"/>
      <c r="P274" s="485"/>
      <c r="Q274" s="63"/>
      <c r="R274" s="64"/>
    </row>
    <row r="275" spans="1:18" x14ac:dyDescent="0.2">
      <c r="A275" s="83"/>
      <c r="B275" s="486" t="s">
        <v>276</v>
      </c>
      <c r="C275" s="487"/>
      <c r="D275" s="487"/>
      <c r="E275" s="487"/>
      <c r="F275" s="487"/>
      <c r="G275" s="487"/>
      <c r="H275" s="487"/>
      <c r="I275" s="488"/>
      <c r="J275" s="80">
        <v>2</v>
      </c>
      <c r="K275" s="454"/>
      <c r="L275" s="455"/>
      <c r="M275" s="455"/>
      <c r="N275" s="455"/>
      <c r="O275" s="455"/>
      <c r="P275" s="456"/>
      <c r="Q275" s="63"/>
      <c r="R275" s="64"/>
    </row>
    <row r="276" spans="1:18" x14ac:dyDescent="0.2">
      <c r="A276" s="83"/>
      <c r="B276" s="489" t="s">
        <v>234</v>
      </c>
      <c r="C276" s="490"/>
      <c r="D276" s="490"/>
      <c r="E276" s="490"/>
      <c r="F276" s="490"/>
      <c r="G276" s="490"/>
      <c r="H276" s="490"/>
      <c r="I276" s="491"/>
      <c r="J276" s="80">
        <v>3</v>
      </c>
      <c r="K276" s="454"/>
      <c r="L276" s="455"/>
      <c r="M276" s="455"/>
      <c r="N276" s="455"/>
      <c r="O276" s="455"/>
      <c r="P276" s="456"/>
      <c r="Q276" s="63"/>
      <c r="R276" s="64"/>
    </row>
    <row r="277" spans="1:18" x14ac:dyDescent="0.2">
      <c r="A277" s="83"/>
      <c r="B277" s="468"/>
      <c r="C277" s="468"/>
      <c r="D277" s="468"/>
      <c r="E277" s="468"/>
      <c r="F277" s="468"/>
      <c r="G277" s="468"/>
      <c r="H277" s="468"/>
      <c r="I277" s="468"/>
      <c r="J277" s="468"/>
      <c r="K277" s="468"/>
      <c r="L277" s="468"/>
      <c r="M277" s="468"/>
      <c r="N277" s="468"/>
      <c r="O277" s="468"/>
      <c r="P277" s="468"/>
      <c r="Q277" s="63"/>
      <c r="R277" s="64"/>
    </row>
    <row r="278" spans="1:18" ht="12" customHeight="1" x14ac:dyDescent="0.2">
      <c r="A278" s="83"/>
      <c r="B278" s="469" t="s">
        <v>84</v>
      </c>
      <c r="C278" s="471" t="str">
        <f>IF(CODE(B278)=89,"This candidate would like to receive Special","This candidate would not like to receive Special")</f>
        <v>This candidate would like to receive Special</v>
      </c>
      <c r="D278" s="472"/>
      <c r="E278" s="472"/>
      <c r="F278" s="472"/>
      <c r="G278" s="472"/>
      <c r="H278" s="472"/>
      <c r="I278" s="473"/>
      <c r="J278" s="81"/>
      <c r="K278" s="474" t="s">
        <v>205</v>
      </c>
      <c r="L278" s="474"/>
      <c r="M278" s="475"/>
      <c r="N278" s="51" t="str">
        <f>IF($P$33&gt;=8,8,"")</f>
        <v/>
      </c>
      <c r="O278" s="62" t="s">
        <v>52</v>
      </c>
      <c r="P278" s="51" t="str">
        <f>IF($P$33&gt;=8,$P$33,"")</f>
        <v/>
      </c>
      <c r="Q278" s="63"/>
      <c r="R278" s="64"/>
    </row>
    <row r="279" spans="1:18" ht="12" customHeight="1" x14ac:dyDescent="0.2">
      <c r="A279" s="83"/>
      <c r="B279" s="470"/>
      <c r="C279" s="476" t="str">
        <f>IF(CODE(B278)=89,"Announcements and Bulletins from RAD Canada","Announcements and Bulletins from RAD Canada")</f>
        <v>Announcements and Bulletins from RAD Canada</v>
      </c>
      <c r="D279" s="477"/>
      <c r="E279" s="477"/>
      <c r="F279" s="477"/>
      <c r="G279" s="477"/>
      <c r="H279" s="477"/>
      <c r="I279" s="478"/>
      <c r="J279" s="479"/>
      <c r="K279" s="400"/>
      <c r="L279" s="400"/>
      <c r="M279" s="400"/>
      <c r="N279" s="400"/>
      <c r="O279" s="400"/>
      <c r="P279" s="400"/>
      <c r="Q279" s="63"/>
      <c r="R279" s="64"/>
    </row>
    <row r="280" spans="1:18" x14ac:dyDescent="0.2">
      <c r="A280" s="83"/>
      <c r="B280" s="400"/>
      <c r="C280" s="400"/>
      <c r="D280" s="400"/>
      <c r="E280" s="400"/>
      <c r="F280" s="400"/>
      <c r="G280" s="400"/>
      <c r="H280" s="400"/>
      <c r="I280" s="400"/>
      <c r="J280" s="400"/>
      <c r="K280" s="400"/>
      <c r="L280" s="400"/>
      <c r="M280" s="400"/>
      <c r="N280" s="400"/>
      <c r="O280" s="400"/>
      <c r="P280" s="400"/>
      <c r="Q280" s="63"/>
      <c r="R280" s="64"/>
    </row>
    <row r="281" spans="1:18" x14ac:dyDescent="0.2">
      <c r="A281" s="83"/>
      <c r="B281" s="62"/>
      <c r="C281" s="62"/>
      <c r="D281" s="62"/>
      <c r="E281" s="62"/>
      <c r="F281" s="62"/>
      <c r="G281" s="62"/>
      <c r="H281" s="62"/>
      <c r="I281" s="62"/>
      <c r="J281" s="62"/>
      <c r="K281" s="62"/>
      <c r="L281" s="62"/>
      <c r="M281" s="62"/>
      <c r="N281" s="62"/>
      <c r="O281" s="62"/>
      <c r="P281" s="62"/>
      <c r="Q281" s="63"/>
      <c r="R281" s="64"/>
    </row>
    <row r="282" spans="1:18" x14ac:dyDescent="0.2">
      <c r="A282" s="83"/>
      <c r="B282" s="401" t="s">
        <v>233</v>
      </c>
      <c r="C282" s="402"/>
      <c r="D282" s="402"/>
      <c r="E282" s="402"/>
      <c r="F282" s="402"/>
      <c r="G282" s="402"/>
      <c r="H282" s="62"/>
      <c r="I282" s="62"/>
      <c r="J282" s="62"/>
      <c r="K282" s="62"/>
      <c r="L282" s="62"/>
      <c r="M282" s="62"/>
      <c r="N282" s="62"/>
      <c r="O282" s="62"/>
      <c r="P282" s="62"/>
      <c r="Q282" s="63"/>
      <c r="R282" s="64"/>
    </row>
    <row r="283" spans="1:18" ht="15.75" x14ac:dyDescent="0.25">
      <c r="A283" s="83"/>
      <c r="B283" s="402"/>
      <c r="C283" s="402"/>
      <c r="D283" s="402"/>
      <c r="E283" s="402"/>
      <c r="F283" s="402"/>
      <c r="G283" s="402"/>
      <c r="H283" s="82"/>
      <c r="I283" s="403"/>
      <c r="J283" s="403"/>
      <c r="K283" s="403"/>
      <c r="L283" s="403"/>
      <c r="M283" s="403"/>
      <c r="N283" s="403"/>
      <c r="O283" s="403"/>
      <c r="P283" s="403"/>
      <c r="Q283" s="63"/>
      <c r="R283" s="64"/>
    </row>
    <row r="284" spans="1:18" x14ac:dyDescent="0.2">
      <c r="A284" s="83"/>
      <c r="B284" s="400"/>
      <c r="C284" s="400"/>
      <c r="D284" s="400"/>
      <c r="E284" s="400"/>
      <c r="F284" s="400"/>
      <c r="G284" s="400"/>
      <c r="H284" s="400"/>
      <c r="I284" s="400"/>
      <c r="J284" s="400"/>
      <c r="K284" s="400"/>
      <c r="L284" s="400"/>
      <c r="M284" s="403"/>
      <c r="N284" s="403"/>
      <c r="O284" s="403"/>
      <c r="P284" s="403"/>
      <c r="Q284" s="63"/>
      <c r="R284" s="64"/>
    </row>
    <row r="285" spans="1:18" x14ac:dyDescent="0.2">
      <c r="A285" s="83"/>
      <c r="B285" s="404" t="s">
        <v>260</v>
      </c>
      <c r="C285" s="404"/>
      <c r="D285" s="404"/>
      <c r="E285" s="404"/>
      <c r="F285" s="400"/>
      <c r="G285" s="400"/>
      <c r="H285" s="400"/>
      <c r="I285" s="400"/>
      <c r="J285" s="400"/>
      <c r="K285" s="400"/>
      <c r="L285" s="400"/>
      <c r="M285" s="403"/>
      <c r="N285" s="403"/>
      <c r="O285" s="403"/>
      <c r="P285" s="403"/>
      <c r="Q285" s="63"/>
      <c r="R285" s="64"/>
    </row>
    <row r="286" spans="1:18" x14ac:dyDescent="0.2">
      <c r="A286" s="83"/>
      <c r="B286" s="69"/>
      <c r="C286" s="324" t="s">
        <v>75</v>
      </c>
      <c r="D286" s="408"/>
      <c r="E286" s="409"/>
      <c r="F286" s="400"/>
      <c r="G286" s="400"/>
      <c r="H286" s="400"/>
      <c r="I286" s="400"/>
      <c r="J286" s="400"/>
      <c r="K286" s="400"/>
      <c r="L286" s="400"/>
      <c r="M286" s="70"/>
      <c r="N286" s="70"/>
      <c r="O286" s="70"/>
      <c r="P286" s="70"/>
      <c r="Q286" s="63"/>
      <c r="R286" s="64"/>
    </row>
    <row r="287" spans="1:18" x14ac:dyDescent="0.2">
      <c r="A287" s="83"/>
      <c r="B287" s="71"/>
      <c r="C287" s="324" t="s">
        <v>128</v>
      </c>
      <c r="D287" s="408"/>
      <c r="E287" s="409"/>
      <c r="F287" s="400"/>
      <c r="G287" s="400"/>
      <c r="H287" s="400"/>
      <c r="I287" s="400"/>
      <c r="J287" s="400"/>
      <c r="K287" s="400"/>
      <c r="L287" s="400"/>
      <c r="M287" s="407" t="s">
        <v>256</v>
      </c>
      <c r="N287" s="407"/>
      <c r="O287" s="407"/>
      <c r="P287" s="407"/>
      <c r="Q287" s="63"/>
      <c r="R287" s="64"/>
    </row>
    <row r="288" spans="1:18" x14ac:dyDescent="0.2">
      <c r="A288" s="83"/>
      <c r="B288" s="56"/>
      <c r="C288" s="324" t="s">
        <v>275</v>
      </c>
      <c r="D288" s="408"/>
      <c r="E288" s="409"/>
      <c r="F288" s="400"/>
      <c r="G288" s="400"/>
      <c r="H288" s="400"/>
      <c r="I288" s="400"/>
      <c r="J288" s="400"/>
      <c r="K288" s="400"/>
      <c r="L288" s="400"/>
      <c r="M288" s="407"/>
      <c r="N288" s="407"/>
      <c r="O288" s="407"/>
      <c r="P288" s="407"/>
      <c r="Q288" s="63"/>
      <c r="R288" s="64"/>
    </row>
    <row r="289" spans="1:20" x14ac:dyDescent="0.2">
      <c r="A289" s="83"/>
      <c r="B289" s="520"/>
      <c r="C289" s="520"/>
      <c r="D289" s="520"/>
      <c r="E289" s="520"/>
      <c r="F289" s="520"/>
      <c r="G289" s="520"/>
      <c r="H289" s="520"/>
      <c r="I289" s="520"/>
      <c r="J289" s="520"/>
      <c r="K289" s="520"/>
      <c r="L289" s="520"/>
      <c r="M289" s="520"/>
      <c r="N289" s="520"/>
      <c r="O289" s="520"/>
      <c r="P289" s="520"/>
      <c r="Q289" s="63"/>
      <c r="R289" s="64"/>
    </row>
    <row r="290" spans="1:20" x14ac:dyDescent="0.2">
      <c r="A290" s="83"/>
      <c r="B290" s="432" t="s">
        <v>117</v>
      </c>
      <c r="C290" s="433"/>
      <c r="D290" s="434"/>
      <c r="E290" s="442" t="str">
        <f>IF(AND($P$33&gt;=9,NOT(ISBLANK($E$10))),$E$10,"")</f>
        <v/>
      </c>
      <c r="F290" s="443"/>
      <c r="G290" s="444"/>
      <c r="H290" s="414" t="s">
        <v>124</v>
      </c>
      <c r="I290" s="415"/>
      <c r="J290" s="442" t="str">
        <f>IF(AND($P$33&gt;=9,NOT(ISBLANK($J$10))),$J$10,"")</f>
        <v/>
      </c>
      <c r="K290" s="443"/>
      <c r="L290" s="444"/>
      <c r="M290" s="414" t="s">
        <v>118</v>
      </c>
      <c r="N290" s="415"/>
      <c r="O290" s="430" t="str">
        <f>IF(AND($P$33&gt;=9,NOT(ISBLANK($O$10))),$O$10,"")</f>
        <v/>
      </c>
      <c r="P290" s="521"/>
      <c r="Q290" s="63"/>
      <c r="R290" s="545" t="s">
        <v>307</v>
      </c>
      <c r="S290" s="546"/>
      <c r="T290" s="547"/>
    </row>
    <row r="291" spans="1:20" x14ac:dyDescent="0.2">
      <c r="A291" s="83"/>
      <c r="B291" s="432" t="s">
        <v>240</v>
      </c>
      <c r="C291" s="433"/>
      <c r="D291" s="434"/>
      <c r="E291" s="435" t="str">
        <f>IF(NOT($N313=9),"",IF(ISERROR(LOOKUP(9,'Teacher Summary Sheet'!$M$19:$M$181)),"",IF(VLOOKUP(9,'Teacher Summary Sheet'!$M$19:$R$181,2,0)=0,"",VLOOKUP(9,'Teacher Summary Sheet'!$M$19:$R$181,2))))</f>
        <v/>
      </c>
      <c r="F291" s="436"/>
      <c r="G291" s="437"/>
      <c r="H291" s="438" t="s">
        <v>119</v>
      </c>
      <c r="I291" s="439"/>
      <c r="J291" s="102" t="str">
        <f>IF(NOT($N313=9),"",IF(ISERROR(LOOKUP(9,'Teacher Summary Sheet'!$M$19:$M$181)),"",IF(VLOOKUP(9,'Teacher Summary Sheet'!$M$19:$R$181,6)=0,"",VLOOKUP(9,'Teacher Summary Sheet'!$M$19:$R$181,6))))</f>
        <v/>
      </c>
      <c r="K291" s="414" t="s">
        <v>179</v>
      </c>
      <c r="L291" s="419"/>
      <c r="M291" s="415"/>
      <c r="N291" s="412" t="str">
        <f>IF(NOT($N313=9),"",IF(ISERROR(LOOKUP(9,'Teacher Summary Sheet'!$M$19:$M$181)),"",IF('Teacher Summary Sheet'!$F$31=0,"",'Teacher Summary Sheet'!$F$31)))</f>
        <v/>
      </c>
      <c r="O291" s="440"/>
      <c r="P291" s="413"/>
      <c r="Q291" s="63"/>
      <c r="R291" s="548"/>
      <c r="S291" s="549"/>
      <c r="T291" s="550"/>
    </row>
    <row r="292" spans="1:20" ht="14.25" x14ac:dyDescent="0.2">
      <c r="A292" s="83"/>
      <c r="B292" s="410" t="s">
        <v>241</v>
      </c>
      <c r="C292" s="420"/>
      <c r="D292" s="411"/>
      <c r="E292" s="421" t="str">
        <f>IF(NOT($N313=9),"",IF(ISERROR(LOOKUP(9,'Teacher Summary Sheet'!$M$19:$M$181)),"",IF(VLOOKUP(9,'Teacher Summary Sheet'!$M$19:$R$181,3)=0,"",VLOOKUP(9,'Teacher Summary Sheet'!$M$19:$R$181,3))))</f>
        <v/>
      </c>
      <c r="F292" s="422"/>
      <c r="G292" s="422"/>
      <c r="H292" s="422"/>
      <c r="I292" s="423"/>
      <c r="J292" s="414" t="s">
        <v>124</v>
      </c>
      <c r="K292" s="415"/>
      <c r="L292" s="424" t="str">
        <f>IF(NOT($N313=9),"",IF(ISERROR(LOOKUP(9,'Teacher Summary Sheet'!$M$19:$M$181)),"",IF(VLOOKUP(9,'Teacher Summary Sheet'!$M$19:$R$181,4)=0,"",VLOOKUP(9,'Teacher Summary Sheet'!$M$19:$R$181,4))))</f>
        <v/>
      </c>
      <c r="M292" s="425"/>
      <c r="N292" s="425"/>
      <c r="O292" s="425"/>
      <c r="P292" s="426"/>
      <c r="Q292" s="63"/>
      <c r="R292" s="125" t="str">
        <f>IF(NOT(N313=9),"",IF(COUNTIF(R294:R300,"P")=7,"P","O"))</f>
        <v/>
      </c>
      <c r="S292" s="110" t="str">
        <f>IF(NOT(N313=9),"",IF(COUNTIF(R294:R300,"P")=7,"Complete","Incomplete"))</f>
        <v/>
      </c>
      <c r="T292" s="111"/>
    </row>
    <row r="293" spans="1:20" x14ac:dyDescent="0.2">
      <c r="A293" s="83"/>
      <c r="B293" s="410" t="s">
        <v>120</v>
      </c>
      <c r="C293" s="420"/>
      <c r="D293" s="411"/>
      <c r="E293" s="427"/>
      <c r="F293" s="428"/>
      <c r="G293" s="428"/>
      <c r="H293" s="428"/>
      <c r="I293" s="428"/>
      <c r="J293" s="429"/>
      <c r="K293" s="62" t="s">
        <v>121</v>
      </c>
      <c r="L293" s="427"/>
      <c r="M293" s="428"/>
      <c r="N293" s="428"/>
      <c r="O293" s="428"/>
      <c r="P293" s="429"/>
      <c r="Q293" s="63"/>
    </row>
    <row r="294" spans="1:20" ht="14.25" x14ac:dyDescent="0.2">
      <c r="A294" s="83"/>
      <c r="B294" s="410" t="s">
        <v>196</v>
      </c>
      <c r="C294" s="420"/>
      <c r="D294" s="411"/>
      <c r="E294" s="427"/>
      <c r="F294" s="428"/>
      <c r="G294" s="428"/>
      <c r="H294" s="428"/>
      <c r="I294" s="429"/>
      <c r="J294" s="73" t="s">
        <v>197</v>
      </c>
      <c r="K294" s="405"/>
      <c r="L294" s="406"/>
      <c r="M294" s="414" t="s">
        <v>212</v>
      </c>
      <c r="N294" s="415"/>
      <c r="O294" s="405"/>
      <c r="P294" s="406"/>
      <c r="Q294" s="63"/>
      <c r="R294" s="124" t="str">
        <f>IF(NOT(N313=9),"",IF(OR(COUNTBLANK(E292:E292)=1,COUNTBLANK(L292:L292)=1),"O","P"))</f>
        <v/>
      </c>
      <c r="S294" s="108" t="str">
        <f>IF(NOT(N313=9),"","Candidate Name")</f>
        <v/>
      </c>
      <c r="T294" s="64"/>
    </row>
    <row r="295" spans="1:20" ht="14.25" x14ac:dyDescent="0.2">
      <c r="A295" s="83"/>
      <c r="B295" s="410" t="s">
        <v>198</v>
      </c>
      <c r="C295" s="420"/>
      <c r="D295" s="411"/>
      <c r="E295" s="454"/>
      <c r="F295" s="455"/>
      <c r="G295" s="455"/>
      <c r="H295" s="456"/>
      <c r="I295" s="74" t="s">
        <v>199</v>
      </c>
      <c r="J295" s="427"/>
      <c r="K295" s="428"/>
      <c r="L295" s="428"/>
      <c r="M295" s="428"/>
      <c r="N295" s="428"/>
      <c r="O295" s="428"/>
      <c r="P295" s="429"/>
      <c r="Q295" s="63"/>
      <c r="R295" s="124" t="str">
        <f>IF(NOT(N313=9),"",IF(COUNTBLANK(E291:E291)=1,"O","P"))</f>
        <v/>
      </c>
      <c r="S295" s="108" t="str">
        <f>IF(NOT(N313=9),"","Candidate ID")</f>
        <v/>
      </c>
      <c r="T295" s="64"/>
    </row>
    <row r="296" spans="1:20" ht="14.25" x14ac:dyDescent="0.2">
      <c r="A296" s="83"/>
      <c r="B296" s="410" t="s">
        <v>227</v>
      </c>
      <c r="C296" s="420"/>
      <c r="D296" s="411"/>
      <c r="E296" s="75" t="s">
        <v>218</v>
      </c>
      <c r="F296" s="405"/>
      <c r="G296" s="448"/>
      <c r="H296" s="75" t="s">
        <v>138</v>
      </c>
      <c r="I296" s="449"/>
      <c r="J296" s="450"/>
      <c r="K296" s="76" t="s">
        <v>139</v>
      </c>
      <c r="L296" s="451"/>
      <c r="M296" s="452"/>
      <c r="N296" s="76" t="s">
        <v>228</v>
      </c>
      <c r="O296" s="453" t="str">
        <f ca="1">IF(OR(ISBLANK(L296),ISBLANK(I296),ISBLANK(F296),COUNTBLANK(J291:J291)=1),"",IF(DATEDIF(DATE(L296,VLOOKUP(I296,data!$T$2:$U$13,2,FALSE),F296),IF(AND(TODAY()&lt;data!$AJ$12,TODAY()&gt;data!$AI$12),data!$AI$3,data!$AJ$3),"Y")&gt;=data!$AC$11,YEAR(TODAY())-L296,data!$AD$3))</f>
        <v/>
      </c>
      <c r="P296" s="413"/>
      <c r="Q296" s="63"/>
      <c r="R296" s="124" t="str">
        <f>IF(NOT(N313=9),"",IF(OR(ISBLANK(E293),ISBLANK(L293),ISBLANK(K294),ISBLANK(O294)),"O","P"))</f>
        <v/>
      </c>
      <c r="S296" s="108" t="str">
        <f>IF(NOT(N313=9),"","Address")</f>
        <v/>
      </c>
      <c r="T296" s="64"/>
    </row>
    <row r="297" spans="1:20" ht="15" thickBot="1" x14ac:dyDescent="0.25">
      <c r="A297" s="83"/>
      <c r="B297" s="410" t="s">
        <v>214</v>
      </c>
      <c r="C297" s="411"/>
      <c r="D297" s="412" t="str">
        <f>IF(NOT($N313=9),"",IF(ISERROR(LOOKUP(9,'Teacher Summary Sheet'!$M$19:$M$181)),"",IF(VLOOKUP(9,'Teacher Summary Sheet'!$M$19:$R$181,5)=0,"",VLOOKUP(9,'Teacher Summary Sheet'!$M$19:$R$181,5))))</f>
        <v/>
      </c>
      <c r="E297" s="413"/>
      <c r="F297" s="414" t="s">
        <v>319</v>
      </c>
      <c r="G297" s="415"/>
      <c r="H297" s="416"/>
      <c r="I297" s="417"/>
      <c r="J297" s="418"/>
      <c r="K297" s="414" t="s">
        <v>320</v>
      </c>
      <c r="L297" s="419"/>
      <c r="M297" s="419"/>
      <c r="N297" s="415"/>
      <c r="O297" s="405" t="s">
        <v>268</v>
      </c>
      <c r="P297" s="406"/>
      <c r="Q297" s="63"/>
      <c r="R297" s="124" t="str">
        <f>IF(NOT(N313=9),"",IF(OR(ISBLANK(F296),ISBLANK(I296),ISBLANK(L296)),"O","P"))</f>
        <v/>
      </c>
      <c r="S297" s="108" t="str">
        <f>IF(NOT(N313=9),"","Date of Birth")</f>
        <v/>
      </c>
      <c r="T297" s="64"/>
    </row>
    <row r="298" spans="1:20" ht="14.25" x14ac:dyDescent="0.2">
      <c r="A298" s="83"/>
      <c r="B298" s="522" t="s">
        <v>297</v>
      </c>
      <c r="C298" s="463"/>
      <c r="D298" s="463"/>
      <c r="E298" s="463"/>
      <c r="F298" s="463"/>
      <c r="G298" s="463"/>
      <c r="H298" s="463"/>
      <c r="I298" s="463"/>
      <c r="J298" s="463"/>
      <c r="K298" s="463"/>
      <c r="L298" s="463"/>
      <c r="M298" s="463"/>
      <c r="N298" s="463"/>
      <c r="O298" s="463"/>
      <c r="P298" s="464"/>
      <c r="Q298" s="63"/>
      <c r="R298" s="124" t="str">
        <f>IF(NOT(N313=9),"",IF(COUNTBLANK(J291:J291)=1,"O","P"))</f>
        <v/>
      </c>
      <c r="S298" s="112" t="str">
        <f>IF(NOT(N313=9),"","Exam Level")</f>
        <v/>
      </c>
      <c r="T298" s="64"/>
    </row>
    <row r="299" spans="1:20" ht="14.25" x14ac:dyDescent="0.2">
      <c r="A299" s="83"/>
      <c r="B299" s="465"/>
      <c r="C299" s="466"/>
      <c r="D299" s="466"/>
      <c r="E299" s="466"/>
      <c r="F299" s="466"/>
      <c r="G299" s="466"/>
      <c r="H299" s="466"/>
      <c r="I299" s="466"/>
      <c r="J299" s="466"/>
      <c r="K299" s="466"/>
      <c r="L299" s="466"/>
      <c r="M299" s="466"/>
      <c r="N299" s="466"/>
      <c r="O299" s="466"/>
      <c r="P299" s="467"/>
      <c r="Q299" s="63"/>
      <c r="R299" s="124" t="str">
        <f>IF(NOT(N313=9),"",IF(COUNTBLANK(D297:D297)=1,"O","P"))</f>
        <v/>
      </c>
      <c r="S299" s="109" t="str">
        <f>IF(NOT(N313=9),"","Gender")</f>
        <v/>
      </c>
      <c r="T299" s="64"/>
    </row>
    <row r="300" spans="1:20" ht="14.25" x14ac:dyDescent="0.2">
      <c r="A300" s="83"/>
      <c r="B300" s="432" t="s">
        <v>298</v>
      </c>
      <c r="C300" s="433"/>
      <c r="D300" s="434"/>
      <c r="E300" s="405"/>
      <c r="F300" s="406"/>
      <c r="G300" s="432" t="s">
        <v>299</v>
      </c>
      <c r="H300" s="433"/>
      <c r="I300" s="434"/>
      <c r="J300" s="405"/>
      <c r="K300" s="448"/>
      <c r="L300" s="406"/>
      <c r="M300" s="414" t="s">
        <v>300</v>
      </c>
      <c r="N300" s="415"/>
      <c r="O300" s="457"/>
      <c r="P300" s="458"/>
      <c r="Q300" s="63"/>
      <c r="R300" s="124" t="str">
        <f>IF(NOT(N313=9),"",IF(ISBLANK(H297),"O","P"))</f>
        <v/>
      </c>
      <c r="S300" s="109" t="str">
        <f>IF(NOT(N313=9),"","Height")</f>
        <v/>
      </c>
      <c r="T300" s="64"/>
    </row>
    <row r="301" spans="1:20" x14ac:dyDescent="0.2">
      <c r="A301" s="83"/>
      <c r="B301" s="77" t="s">
        <v>153</v>
      </c>
      <c r="C301" s="405"/>
      <c r="D301" s="406"/>
      <c r="E301" s="414" t="s">
        <v>301</v>
      </c>
      <c r="F301" s="415"/>
      <c r="G301" s="459"/>
      <c r="H301" s="460"/>
      <c r="I301" s="461"/>
      <c r="J301" s="414" t="s">
        <v>302</v>
      </c>
      <c r="K301" s="415"/>
      <c r="L301" s="454"/>
      <c r="M301" s="455"/>
      <c r="N301" s="455"/>
      <c r="O301" s="455"/>
      <c r="P301" s="456"/>
      <c r="Q301" s="63"/>
      <c r="R301" s="64"/>
      <c r="S301" s="64"/>
      <c r="T301" s="64"/>
    </row>
    <row r="302" spans="1:20" x14ac:dyDescent="0.2">
      <c r="A302" s="83"/>
      <c r="B302" s="410" t="s">
        <v>116</v>
      </c>
      <c r="C302" s="420"/>
      <c r="D302" s="420"/>
      <c r="E302" s="420"/>
      <c r="F302" s="420"/>
      <c r="G302" s="420"/>
      <c r="H302" s="420"/>
      <c r="I302" s="420"/>
      <c r="J302" s="420"/>
      <c r="K302" s="420"/>
      <c r="L302" s="420"/>
      <c r="M302" s="420"/>
      <c r="N302" s="420"/>
      <c r="O302" s="420"/>
      <c r="P302" s="411"/>
      <c r="Q302" s="63"/>
      <c r="R302" s="64"/>
      <c r="S302" s="64"/>
      <c r="T302" s="64"/>
    </row>
    <row r="303" spans="1:20" x14ac:dyDescent="0.2">
      <c r="A303" s="83"/>
      <c r="B303" s="410" t="s">
        <v>298</v>
      </c>
      <c r="C303" s="420"/>
      <c r="D303" s="411"/>
      <c r="E303" s="405"/>
      <c r="F303" s="406"/>
      <c r="G303" s="410" t="s">
        <v>299</v>
      </c>
      <c r="H303" s="420"/>
      <c r="I303" s="411"/>
      <c r="J303" s="454"/>
      <c r="K303" s="455"/>
      <c r="L303" s="456"/>
      <c r="M303" s="414" t="s">
        <v>300</v>
      </c>
      <c r="N303" s="415"/>
      <c r="O303" s="457"/>
      <c r="P303" s="458"/>
      <c r="Q303" s="63"/>
      <c r="R303" s="64"/>
    </row>
    <row r="304" spans="1:20" ht="13.5" thickBot="1" x14ac:dyDescent="0.25">
      <c r="A304" s="83"/>
      <c r="B304" s="78" t="s">
        <v>153</v>
      </c>
      <c r="C304" s="492"/>
      <c r="D304" s="493"/>
      <c r="E304" s="494" t="s">
        <v>301</v>
      </c>
      <c r="F304" s="495"/>
      <c r="G304" s="496"/>
      <c r="H304" s="497"/>
      <c r="I304" s="498"/>
      <c r="J304" s="414" t="s">
        <v>302</v>
      </c>
      <c r="K304" s="415"/>
      <c r="L304" s="454"/>
      <c r="M304" s="455"/>
      <c r="N304" s="455"/>
      <c r="O304" s="455"/>
      <c r="P304" s="456"/>
      <c r="Q304" s="63"/>
      <c r="R304" s="64"/>
    </row>
    <row r="305" spans="1:18" x14ac:dyDescent="0.2">
      <c r="A305" s="83"/>
      <c r="B305" s="499" t="s">
        <v>126</v>
      </c>
      <c r="C305" s="500"/>
      <c r="D305" s="500"/>
      <c r="E305" s="500"/>
      <c r="F305" s="500"/>
      <c r="G305" s="500"/>
      <c r="H305" s="500"/>
      <c r="I305" s="501"/>
      <c r="J305" s="505"/>
      <c r="K305" s="506"/>
      <c r="L305" s="506"/>
      <c r="M305" s="506"/>
      <c r="N305" s="506"/>
      <c r="O305" s="506"/>
      <c r="P305" s="507"/>
      <c r="Q305" s="63"/>
      <c r="R305" s="64"/>
    </row>
    <row r="306" spans="1:18" x14ac:dyDescent="0.2">
      <c r="A306" s="83"/>
      <c r="B306" s="502"/>
      <c r="C306" s="503"/>
      <c r="D306" s="503"/>
      <c r="E306" s="503"/>
      <c r="F306" s="503"/>
      <c r="G306" s="503"/>
      <c r="H306" s="503"/>
      <c r="I306" s="504"/>
      <c r="J306" s="508"/>
      <c r="K306" s="509"/>
      <c r="L306" s="509"/>
      <c r="M306" s="509"/>
      <c r="N306" s="509"/>
      <c r="O306" s="509"/>
      <c r="P306" s="510"/>
      <c r="Q306" s="63"/>
      <c r="R306" s="64"/>
    </row>
    <row r="307" spans="1:18" x14ac:dyDescent="0.2">
      <c r="A307" s="83"/>
      <c r="B307" s="514" t="s">
        <v>127</v>
      </c>
      <c r="C307" s="515"/>
      <c r="D307" s="515"/>
      <c r="E307" s="515"/>
      <c r="F307" s="515"/>
      <c r="G307" s="515"/>
      <c r="H307" s="515"/>
      <c r="I307" s="516"/>
      <c r="J307" s="508"/>
      <c r="K307" s="509"/>
      <c r="L307" s="509"/>
      <c r="M307" s="509"/>
      <c r="N307" s="509"/>
      <c r="O307" s="509"/>
      <c r="P307" s="510"/>
      <c r="Q307" s="63"/>
      <c r="R307" s="64"/>
    </row>
    <row r="308" spans="1:18" ht="13.5" thickBot="1" x14ac:dyDescent="0.25">
      <c r="A308" s="83"/>
      <c r="B308" s="517"/>
      <c r="C308" s="518"/>
      <c r="D308" s="518"/>
      <c r="E308" s="518"/>
      <c r="F308" s="518"/>
      <c r="G308" s="518"/>
      <c r="H308" s="518"/>
      <c r="I308" s="519"/>
      <c r="J308" s="511"/>
      <c r="K308" s="512"/>
      <c r="L308" s="512"/>
      <c r="M308" s="512"/>
      <c r="N308" s="512"/>
      <c r="O308" s="512"/>
      <c r="P308" s="513"/>
      <c r="Q308" s="63"/>
      <c r="R308" s="64"/>
    </row>
    <row r="309" spans="1:18" x14ac:dyDescent="0.2">
      <c r="A309" s="83"/>
      <c r="B309" s="480" t="s">
        <v>10</v>
      </c>
      <c r="C309" s="481"/>
      <c r="D309" s="481"/>
      <c r="E309" s="481"/>
      <c r="F309" s="481"/>
      <c r="G309" s="481"/>
      <c r="H309" s="481"/>
      <c r="I309" s="482"/>
      <c r="J309" s="79">
        <v>1</v>
      </c>
      <c r="K309" s="483"/>
      <c r="L309" s="484"/>
      <c r="M309" s="484"/>
      <c r="N309" s="484"/>
      <c r="O309" s="484"/>
      <c r="P309" s="485"/>
      <c r="Q309" s="63"/>
      <c r="R309" s="64"/>
    </row>
    <row r="310" spans="1:18" x14ac:dyDescent="0.2">
      <c r="A310" s="83"/>
      <c r="B310" s="486" t="s">
        <v>276</v>
      </c>
      <c r="C310" s="487"/>
      <c r="D310" s="487"/>
      <c r="E310" s="487"/>
      <c r="F310" s="487"/>
      <c r="G310" s="487"/>
      <c r="H310" s="487"/>
      <c r="I310" s="488"/>
      <c r="J310" s="80">
        <v>2</v>
      </c>
      <c r="K310" s="454"/>
      <c r="L310" s="455"/>
      <c r="M310" s="455"/>
      <c r="N310" s="455"/>
      <c r="O310" s="455"/>
      <c r="P310" s="456"/>
      <c r="Q310" s="63"/>
      <c r="R310" s="64"/>
    </row>
    <row r="311" spans="1:18" x14ac:dyDescent="0.2">
      <c r="A311" s="83"/>
      <c r="B311" s="489" t="s">
        <v>234</v>
      </c>
      <c r="C311" s="490"/>
      <c r="D311" s="490"/>
      <c r="E311" s="490"/>
      <c r="F311" s="490"/>
      <c r="G311" s="490"/>
      <c r="H311" s="490"/>
      <c r="I311" s="491"/>
      <c r="J311" s="80">
        <v>3</v>
      </c>
      <c r="K311" s="454"/>
      <c r="L311" s="455"/>
      <c r="M311" s="455"/>
      <c r="N311" s="455"/>
      <c r="O311" s="455"/>
      <c r="P311" s="456"/>
      <c r="Q311" s="63"/>
      <c r="R311" s="64"/>
    </row>
    <row r="312" spans="1:18" x14ac:dyDescent="0.2">
      <c r="A312" s="83"/>
      <c r="B312" s="468"/>
      <c r="C312" s="468"/>
      <c r="D312" s="468"/>
      <c r="E312" s="468"/>
      <c r="F312" s="468"/>
      <c r="G312" s="468"/>
      <c r="H312" s="468"/>
      <c r="I312" s="468"/>
      <c r="J312" s="468"/>
      <c r="K312" s="468"/>
      <c r="L312" s="468"/>
      <c r="M312" s="468"/>
      <c r="N312" s="468"/>
      <c r="O312" s="468"/>
      <c r="P312" s="468"/>
      <c r="Q312" s="63"/>
      <c r="R312" s="64"/>
    </row>
    <row r="313" spans="1:18" ht="12" customHeight="1" x14ac:dyDescent="0.2">
      <c r="A313" s="83"/>
      <c r="B313" s="469" t="s">
        <v>84</v>
      </c>
      <c r="C313" s="471" t="str">
        <f>IF(CODE(B313)=89,"This candidate would like to receive Special","This candidate would not like to receive Special")</f>
        <v>This candidate would like to receive Special</v>
      </c>
      <c r="D313" s="472"/>
      <c r="E313" s="472"/>
      <c r="F313" s="472"/>
      <c r="G313" s="472"/>
      <c r="H313" s="472"/>
      <c r="I313" s="473"/>
      <c r="J313" s="81"/>
      <c r="K313" s="474" t="s">
        <v>235</v>
      </c>
      <c r="L313" s="474"/>
      <c r="M313" s="475"/>
      <c r="N313" s="51" t="str">
        <f>IF($P$33&gt;=9,9,"")</f>
        <v/>
      </c>
      <c r="O313" s="62" t="s">
        <v>52</v>
      </c>
      <c r="P313" s="51" t="str">
        <f>IF($P$33&gt;=9,$P$33,"")</f>
        <v/>
      </c>
      <c r="Q313" s="63"/>
      <c r="R313" s="64"/>
    </row>
    <row r="314" spans="1:18" ht="12" customHeight="1" x14ac:dyDescent="0.2">
      <c r="A314" s="83"/>
      <c r="B314" s="470"/>
      <c r="C314" s="476" t="str">
        <f>IF(CODE(B313)=89,"Announcements and Bulletins from RAD Canada","Announcements and Bulletins from RAD Canada")</f>
        <v>Announcements and Bulletins from RAD Canada</v>
      </c>
      <c r="D314" s="477"/>
      <c r="E314" s="477"/>
      <c r="F314" s="477"/>
      <c r="G314" s="477"/>
      <c r="H314" s="477"/>
      <c r="I314" s="478"/>
      <c r="J314" s="479"/>
      <c r="K314" s="400"/>
      <c r="L314" s="400"/>
      <c r="M314" s="400"/>
      <c r="N314" s="400"/>
      <c r="O314" s="400"/>
      <c r="P314" s="400"/>
      <c r="Q314" s="63"/>
      <c r="R314" s="64"/>
    </row>
    <row r="315" spans="1:18" x14ac:dyDescent="0.2">
      <c r="A315" s="83"/>
      <c r="B315" s="400"/>
      <c r="C315" s="400"/>
      <c r="D315" s="400"/>
      <c r="E315" s="400"/>
      <c r="F315" s="400"/>
      <c r="G315" s="400"/>
      <c r="H315" s="400"/>
      <c r="I315" s="400"/>
      <c r="J315" s="400"/>
      <c r="K315" s="400"/>
      <c r="L315" s="400"/>
      <c r="M315" s="400"/>
      <c r="N315" s="400"/>
      <c r="O315" s="400"/>
      <c r="P315" s="400"/>
      <c r="Q315" s="63"/>
      <c r="R315" s="64"/>
    </row>
    <row r="316" spans="1:18" x14ac:dyDescent="0.2">
      <c r="A316" s="83"/>
      <c r="B316" s="62"/>
      <c r="C316" s="62"/>
      <c r="D316" s="62"/>
      <c r="E316" s="62"/>
      <c r="F316" s="62"/>
      <c r="G316" s="62"/>
      <c r="H316" s="62"/>
      <c r="I316" s="62"/>
      <c r="J316" s="62"/>
      <c r="K316" s="62"/>
      <c r="L316" s="62"/>
      <c r="M316" s="62"/>
      <c r="N316" s="62"/>
      <c r="O316" s="62"/>
      <c r="P316" s="62"/>
      <c r="Q316" s="63"/>
      <c r="R316" s="64"/>
    </row>
    <row r="317" spans="1:18" x14ac:dyDescent="0.2">
      <c r="A317" s="83"/>
      <c r="B317" s="401" t="s">
        <v>281</v>
      </c>
      <c r="C317" s="402"/>
      <c r="D317" s="402"/>
      <c r="E317" s="402"/>
      <c r="F317" s="402"/>
      <c r="G317" s="402"/>
      <c r="H317" s="62"/>
      <c r="I317" s="62"/>
      <c r="J317" s="62"/>
      <c r="K317" s="62"/>
      <c r="L317" s="62"/>
      <c r="M317" s="62"/>
      <c r="N317" s="62"/>
      <c r="O317" s="62"/>
      <c r="P317" s="62"/>
      <c r="Q317" s="63"/>
      <c r="R317" s="64"/>
    </row>
    <row r="318" spans="1:18" ht="15.75" x14ac:dyDescent="0.25">
      <c r="A318" s="83"/>
      <c r="B318" s="402"/>
      <c r="C318" s="402"/>
      <c r="D318" s="402"/>
      <c r="E318" s="402"/>
      <c r="F318" s="402"/>
      <c r="G318" s="402"/>
      <c r="H318" s="82"/>
      <c r="I318" s="403"/>
      <c r="J318" s="403"/>
      <c r="K318" s="403"/>
      <c r="L318" s="403"/>
      <c r="M318" s="403"/>
      <c r="N318" s="403"/>
      <c r="O318" s="403"/>
      <c r="P318" s="403"/>
      <c r="Q318" s="63"/>
      <c r="R318" s="64"/>
    </row>
    <row r="319" spans="1:18" x14ac:dyDescent="0.2">
      <c r="A319" s="83"/>
      <c r="B319" s="400"/>
      <c r="C319" s="400"/>
      <c r="D319" s="400"/>
      <c r="E319" s="400"/>
      <c r="F319" s="400"/>
      <c r="G319" s="400"/>
      <c r="H319" s="400"/>
      <c r="I319" s="400"/>
      <c r="J319" s="400"/>
      <c r="K319" s="400"/>
      <c r="L319" s="400"/>
      <c r="M319" s="403"/>
      <c r="N319" s="403"/>
      <c r="O319" s="403"/>
      <c r="P319" s="403"/>
      <c r="Q319" s="63"/>
      <c r="R319" s="64"/>
    </row>
    <row r="320" spans="1:18" x14ac:dyDescent="0.2">
      <c r="A320" s="83"/>
      <c r="B320" s="404" t="s">
        <v>260</v>
      </c>
      <c r="C320" s="404"/>
      <c r="D320" s="404"/>
      <c r="E320" s="404"/>
      <c r="F320" s="400"/>
      <c r="G320" s="400"/>
      <c r="H320" s="400"/>
      <c r="I320" s="400"/>
      <c r="J320" s="400"/>
      <c r="K320" s="400"/>
      <c r="L320" s="400"/>
      <c r="M320" s="403"/>
      <c r="N320" s="403"/>
      <c r="O320" s="403"/>
      <c r="P320" s="403"/>
      <c r="Q320" s="63"/>
      <c r="R320" s="64"/>
    </row>
    <row r="321" spans="1:20" x14ac:dyDescent="0.2">
      <c r="A321" s="83"/>
      <c r="B321" s="69"/>
      <c r="C321" s="324" t="s">
        <v>75</v>
      </c>
      <c r="D321" s="408"/>
      <c r="E321" s="409"/>
      <c r="F321" s="400"/>
      <c r="G321" s="400"/>
      <c r="H321" s="400"/>
      <c r="I321" s="400"/>
      <c r="J321" s="400"/>
      <c r="K321" s="400"/>
      <c r="L321" s="400"/>
      <c r="M321" s="70"/>
      <c r="N321" s="70"/>
      <c r="O321" s="70"/>
      <c r="P321" s="70"/>
      <c r="Q321" s="63"/>
      <c r="R321" s="64"/>
    </row>
    <row r="322" spans="1:20" x14ac:dyDescent="0.2">
      <c r="A322" s="83"/>
      <c r="B322" s="71"/>
      <c r="C322" s="324" t="s">
        <v>128</v>
      </c>
      <c r="D322" s="408"/>
      <c r="E322" s="409"/>
      <c r="F322" s="400"/>
      <c r="G322" s="400"/>
      <c r="H322" s="400"/>
      <c r="I322" s="400"/>
      <c r="J322" s="400"/>
      <c r="K322" s="400"/>
      <c r="L322" s="400"/>
      <c r="M322" s="407" t="s">
        <v>256</v>
      </c>
      <c r="N322" s="407"/>
      <c r="O322" s="407"/>
      <c r="P322" s="407"/>
      <c r="Q322" s="63"/>
      <c r="R322" s="64"/>
    </row>
    <row r="323" spans="1:20" x14ac:dyDescent="0.2">
      <c r="A323" s="83"/>
      <c r="B323" s="56"/>
      <c r="C323" s="324" t="s">
        <v>282</v>
      </c>
      <c r="D323" s="408"/>
      <c r="E323" s="409"/>
      <c r="F323" s="400"/>
      <c r="G323" s="400"/>
      <c r="H323" s="400"/>
      <c r="I323" s="400"/>
      <c r="J323" s="400"/>
      <c r="K323" s="400"/>
      <c r="L323" s="400"/>
      <c r="M323" s="407"/>
      <c r="N323" s="407"/>
      <c r="O323" s="407"/>
      <c r="P323" s="407"/>
      <c r="Q323" s="63"/>
      <c r="R323" s="64"/>
    </row>
    <row r="324" spans="1:20" x14ac:dyDescent="0.2">
      <c r="A324" s="83"/>
      <c r="B324" s="520"/>
      <c r="C324" s="520"/>
      <c r="D324" s="520"/>
      <c r="E324" s="520"/>
      <c r="F324" s="520"/>
      <c r="G324" s="520"/>
      <c r="H324" s="520"/>
      <c r="I324" s="520"/>
      <c r="J324" s="520"/>
      <c r="K324" s="520"/>
      <c r="L324" s="520"/>
      <c r="M324" s="520"/>
      <c r="N324" s="520"/>
      <c r="O324" s="520"/>
      <c r="P324" s="520"/>
      <c r="Q324" s="63"/>
      <c r="R324" s="64"/>
    </row>
    <row r="325" spans="1:20" x14ac:dyDescent="0.2">
      <c r="A325" s="83"/>
      <c r="B325" s="432" t="s">
        <v>117</v>
      </c>
      <c r="C325" s="433"/>
      <c r="D325" s="434"/>
      <c r="E325" s="442" t="str">
        <f>IF(AND($P$33&gt;=10,NOT(ISBLANK($E$10))),$E$10,"")</f>
        <v/>
      </c>
      <c r="F325" s="443"/>
      <c r="G325" s="444"/>
      <c r="H325" s="414" t="s">
        <v>124</v>
      </c>
      <c r="I325" s="415"/>
      <c r="J325" s="442" t="str">
        <f>IF(AND($P$33&gt;=10,NOT(ISBLANK($J$10))),$J$10,"")</f>
        <v/>
      </c>
      <c r="K325" s="443"/>
      <c r="L325" s="444"/>
      <c r="M325" s="414" t="s">
        <v>118</v>
      </c>
      <c r="N325" s="415"/>
      <c r="O325" s="430" t="str">
        <f>IF(AND($P$33&gt;=10,NOT(ISBLANK($O$10))),$O$10,"")</f>
        <v/>
      </c>
      <c r="P325" s="521"/>
      <c r="Q325" s="63"/>
      <c r="R325" s="545" t="s">
        <v>307</v>
      </c>
      <c r="S325" s="546"/>
      <c r="T325" s="547"/>
    </row>
    <row r="326" spans="1:20" x14ac:dyDescent="0.2">
      <c r="A326" s="83"/>
      <c r="B326" s="432" t="s">
        <v>240</v>
      </c>
      <c r="C326" s="433"/>
      <c r="D326" s="434"/>
      <c r="E326" s="435" t="str">
        <f>IF(NOT($N348=10),"",IF(ISERROR(LOOKUP(10,'Teacher Summary Sheet'!$M$19:$M$181)),"",IF(VLOOKUP(10,'Teacher Summary Sheet'!$M$19:$R$181,2)=0,"",VLOOKUP(10,'Teacher Summary Sheet'!$M$19:$R$181,2))))</f>
        <v/>
      </c>
      <c r="F326" s="436"/>
      <c r="G326" s="437"/>
      <c r="H326" s="438" t="s">
        <v>119</v>
      </c>
      <c r="I326" s="439"/>
      <c r="J326" s="102" t="str">
        <f>IF(NOT($N348=10),"",IF(ISERROR(LOOKUP(10,'Teacher Summary Sheet'!$M$19:$M$181)),"",IF(VLOOKUP(10,'Teacher Summary Sheet'!$M$19:$R$181,6)=0,"",VLOOKUP(10,'Teacher Summary Sheet'!$M$19:$R$181,6))))</f>
        <v/>
      </c>
      <c r="K326" s="414" t="s">
        <v>179</v>
      </c>
      <c r="L326" s="419"/>
      <c r="M326" s="415"/>
      <c r="N326" s="412" t="str">
        <f>IF(NOT($N348=10),"",IF(ISERROR(LOOKUP(10,'Teacher Summary Sheet'!$M$19:$M$181)),"",IF('Teacher Summary Sheet'!$F$31=0,"",'Teacher Summary Sheet'!$F$31)))</f>
        <v/>
      </c>
      <c r="O326" s="440"/>
      <c r="P326" s="413"/>
      <c r="Q326" s="63"/>
      <c r="R326" s="548"/>
      <c r="S326" s="549"/>
      <c r="T326" s="550"/>
    </row>
    <row r="327" spans="1:20" ht="14.25" x14ac:dyDescent="0.2">
      <c r="A327" s="83"/>
      <c r="B327" s="410" t="s">
        <v>241</v>
      </c>
      <c r="C327" s="420"/>
      <c r="D327" s="411"/>
      <c r="E327" s="421" t="str">
        <f>IF(NOT($N348=10),"",IF(ISERROR(LOOKUP(10,'Teacher Summary Sheet'!$M$19:$M$181)),"",IF(VLOOKUP(10,'Teacher Summary Sheet'!$M$19:$R$181,3)=0,"",VLOOKUP(10,'Teacher Summary Sheet'!$M$19:$R$181,3))))</f>
        <v/>
      </c>
      <c r="F327" s="422"/>
      <c r="G327" s="422"/>
      <c r="H327" s="422"/>
      <c r="I327" s="423"/>
      <c r="J327" s="414" t="s">
        <v>124</v>
      </c>
      <c r="K327" s="415"/>
      <c r="L327" s="424" t="str">
        <f>IF(NOT($N348=10),"",IF(ISERROR(LOOKUP(10,'Teacher Summary Sheet'!$M$19:$M$181)),"",IF(VLOOKUP(10,'Teacher Summary Sheet'!$M$19:$R$181,4)=0,"",VLOOKUP(10,'Teacher Summary Sheet'!$M$19:$R$181,4))))</f>
        <v/>
      </c>
      <c r="M327" s="425"/>
      <c r="N327" s="425"/>
      <c r="O327" s="425"/>
      <c r="P327" s="426"/>
      <c r="Q327" s="63"/>
      <c r="R327" s="125" t="str">
        <f>IF(NOT(N348=10),"",IF(COUNTIF(R329:R335,"P")=7,"P","O"))</f>
        <v/>
      </c>
      <c r="S327" s="110" t="str">
        <f>IF(NOT(N348=10),"",IF(COUNTIF(R329:R335,"P")=7,"Complete","Incomplete"))</f>
        <v/>
      </c>
      <c r="T327" s="111"/>
    </row>
    <row r="328" spans="1:20" x14ac:dyDescent="0.2">
      <c r="A328" s="83"/>
      <c r="B328" s="410" t="s">
        <v>120</v>
      </c>
      <c r="C328" s="420"/>
      <c r="D328" s="411"/>
      <c r="E328" s="427"/>
      <c r="F328" s="428"/>
      <c r="G328" s="428"/>
      <c r="H328" s="428"/>
      <c r="I328" s="428"/>
      <c r="J328" s="429"/>
      <c r="K328" s="62" t="s">
        <v>121</v>
      </c>
      <c r="L328" s="427"/>
      <c r="M328" s="428"/>
      <c r="N328" s="428"/>
      <c r="O328" s="428"/>
      <c r="P328" s="429"/>
      <c r="Q328" s="63"/>
    </row>
    <row r="329" spans="1:20" ht="14.25" x14ac:dyDescent="0.2">
      <c r="A329" s="83"/>
      <c r="B329" s="410" t="s">
        <v>196</v>
      </c>
      <c r="C329" s="420"/>
      <c r="D329" s="411"/>
      <c r="E329" s="427"/>
      <c r="F329" s="428"/>
      <c r="G329" s="428"/>
      <c r="H329" s="428"/>
      <c r="I329" s="429"/>
      <c r="J329" s="73" t="s">
        <v>197</v>
      </c>
      <c r="K329" s="405"/>
      <c r="L329" s="406"/>
      <c r="M329" s="414" t="s">
        <v>212</v>
      </c>
      <c r="N329" s="415"/>
      <c r="O329" s="405"/>
      <c r="P329" s="406"/>
      <c r="Q329" s="63"/>
      <c r="R329" s="124" t="str">
        <f>IF(NOT(N348=10),"",IF(OR(COUNTBLANK(E327:E327)=1,COUNTBLANK(L327:L327)=1),"O","P"))</f>
        <v/>
      </c>
      <c r="S329" s="108" t="str">
        <f>IF(NOT(N348=10),"","Candidate Name")</f>
        <v/>
      </c>
      <c r="T329" s="64"/>
    </row>
    <row r="330" spans="1:20" ht="14.25" x14ac:dyDescent="0.2">
      <c r="A330" s="83"/>
      <c r="B330" s="410" t="s">
        <v>198</v>
      </c>
      <c r="C330" s="420"/>
      <c r="D330" s="411"/>
      <c r="E330" s="454"/>
      <c r="F330" s="455"/>
      <c r="G330" s="455"/>
      <c r="H330" s="456"/>
      <c r="I330" s="74" t="s">
        <v>199</v>
      </c>
      <c r="J330" s="427"/>
      <c r="K330" s="428"/>
      <c r="L330" s="428"/>
      <c r="M330" s="428"/>
      <c r="N330" s="428"/>
      <c r="O330" s="428"/>
      <c r="P330" s="429"/>
      <c r="Q330" s="63"/>
      <c r="R330" s="124" t="str">
        <f>IF(NOT(N348=10),"",IF(COUNTBLANK(E326:E326)=1,"O","P"))</f>
        <v/>
      </c>
      <c r="S330" s="108" t="str">
        <f>IF(NOT(N348=10),"","Candidate ID")</f>
        <v/>
      </c>
      <c r="T330" s="64"/>
    </row>
    <row r="331" spans="1:20" ht="14.25" x14ac:dyDescent="0.2">
      <c r="A331" s="83"/>
      <c r="B331" s="410" t="s">
        <v>227</v>
      </c>
      <c r="C331" s="420"/>
      <c r="D331" s="411"/>
      <c r="E331" s="75" t="s">
        <v>218</v>
      </c>
      <c r="F331" s="405"/>
      <c r="G331" s="448"/>
      <c r="H331" s="75" t="s">
        <v>138</v>
      </c>
      <c r="I331" s="449"/>
      <c r="J331" s="450"/>
      <c r="K331" s="76" t="s">
        <v>139</v>
      </c>
      <c r="L331" s="451"/>
      <c r="M331" s="452"/>
      <c r="N331" s="76" t="s">
        <v>228</v>
      </c>
      <c r="O331" s="453" t="str">
        <f ca="1">IF(OR(ISBLANK(L331),ISBLANK(I331),ISBLANK(F331),COUNTBLANK(J326:J326)=1),"",IF(DATEDIF(DATE(L331,VLOOKUP(I331,data!$T$2:$U$13,2,FALSE),F331),IF(AND(TODAY()&lt;data!$AJ$12,TODAY()&gt;data!$AI$12),data!$AI$3,data!$AJ$3),"Y")&gt;=data!$AC$12,YEAR(TODAY())-L331,data!$AD$3))</f>
        <v/>
      </c>
      <c r="P331" s="413"/>
      <c r="Q331" s="63"/>
      <c r="R331" s="124" t="str">
        <f>IF(NOT(N348=10),"",IF(OR(ISBLANK(E328),ISBLANK(L328),ISBLANK(K329),ISBLANK(O329)),"O","P"))</f>
        <v/>
      </c>
      <c r="S331" s="108" t="str">
        <f>IF(NOT(N348=10),"","Address")</f>
        <v/>
      </c>
      <c r="T331" s="64"/>
    </row>
    <row r="332" spans="1:20" ht="15" thickBot="1" x14ac:dyDescent="0.25">
      <c r="A332" s="83"/>
      <c r="B332" s="410" t="s">
        <v>214</v>
      </c>
      <c r="C332" s="411"/>
      <c r="D332" s="412" t="str">
        <f>IF(NOT($N348=10),"",IF(ISERROR(LOOKUP(10,'Teacher Summary Sheet'!$M$19:$M$181)),"",IF(VLOOKUP(10,'Teacher Summary Sheet'!$M$19:$R$181,5)=0,"",VLOOKUP(10,'Teacher Summary Sheet'!$M$19:$R$181,5))))</f>
        <v/>
      </c>
      <c r="E332" s="413"/>
      <c r="F332" s="414" t="s">
        <v>319</v>
      </c>
      <c r="G332" s="415"/>
      <c r="H332" s="416"/>
      <c r="I332" s="417"/>
      <c r="J332" s="418"/>
      <c r="K332" s="414" t="s">
        <v>320</v>
      </c>
      <c r="L332" s="419"/>
      <c r="M332" s="419"/>
      <c r="N332" s="415"/>
      <c r="O332" s="405" t="s">
        <v>268</v>
      </c>
      <c r="P332" s="406"/>
      <c r="Q332" s="63"/>
      <c r="R332" s="124" t="str">
        <f>IF(NOT(N348=10),"",IF(OR(ISBLANK(F331),ISBLANK(I331),ISBLANK(L331)),"O","P"))</f>
        <v/>
      </c>
      <c r="S332" s="108" t="str">
        <f>IF(NOT(N348=10),"","Date of Birth")</f>
        <v/>
      </c>
      <c r="T332" s="64"/>
    </row>
    <row r="333" spans="1:20" ht="14.25" x14ac:dyDescent="0.2">
      <c r="A333" s="83"/>
      <c r="B333" s="522" t="s">
        <v>297</v>
      </c>
      <c r="C333" s="463"/>
      <c r="D333" s="463"/>
      <c r="E333" s="463"/>
      <c r="F333" s="463"/>
      <c r="G333" s="463"/>
      <c r="H333" s="463"/>
      <c r="I333" s="463"/>
      <c r="J333" s="463"/>
      <c r="K333" s="463"/>
      <c r="L333" s="463"/>
      <c r="M333" s="463"/>
      <c r="N333" s="463"/>
      <c r="O333" s="463"/>
      <c r="P333" s="464"/>
      <c r="Q333" s="63"/>
      <c r="R333" s="124" t="str">
        <f>IF(NOT(N348=10),"",IF(COUNTBLANK(J326:J326)=1,"O","P"))</f>
        <v/>
      </c>
      <c r="S333" s="112" t="str">
        <f>IF(NOT(N348=10),"","Exam Level")</f>
        <v/>
      </c>
      <c r="T333" s="64"/>
    </row>
    <row r="334" spans="1:20" ht="14.25" x14ac:dyDescent="0.2">
      <c r="A334" s="83"/>
      <c r="B334" s="465"/>
      <c r="C334" s="466"/>
      <c r="D334" s="466"/>
      <c r="E334" s="466"/>
      <c r="F334" s="466"/>
      <c r="G334" s="466"/>
      <c r="H334" s="466"/>
      <c r="I334" s="466"/>
      <c r="J334" s="466"/>
      <c r="K334" s="466"/>
      <c r="L334" s="466"/>
      <c r="M334" s="466"/>
      <c r="N334" s="466"/>
      <c r="O334" s="466"/>
      <c r="P334" s="467"/>
      <c r="Q334" s="63"/>
      <c r="R334" s="124" t="str">
        <f>IF(NOT(N348=10),"",IF(COUNTBLANK(D332:D332)=1,"O","P"))</f>
        <v/>
      </c>
      <c r="S334" s="109" t="str">
        <f>IF(NOT(N348=10),"","Gender")</f>
        <v/>
      </c>
      <c r="T334" s="64"/>
    </row>
    <row r="335" spans="1:20" ht="14.25" x14ac:dyDescent="0.2">
      <c r="A335" s="83"/>
      <c r="B335" s="432" t="s">
        <v>298</v>
      </c>
      <c r="C335" s="433"/>
      <c r="D335" s="434"/>
      <c r="E335" s="405"/>
      <c r="F335" s="406"/>
      <c r="G335" s="432" t="s">
        <v>299</v>
      </c>
      <c r="H335" s="433"/>
      <c r="I335" s="434"/>
      <c r="J335" s="405"/>
      <c r="K335" s="448"/>
      <c r="L335" s="406"/>
      <c r="M335" s="414" t="s">
        <v>300</v>
      </c>
      <c r="N335" s="415"/>
      <c r="O335" s="457"/>
      <c r="P335" s="458"/>
      <c r="Q335" s="63"/>
      <c r="R335" s="124" t="str">
        <f>IF(NOT(N348=10),"",IF(ISBLANK(H332),"O","P"))</f>
        <v/>
      </c>
      <c r="S335" s="109" t="str">
        <f>IF(NOT(N348=10),"","Height")</f>
        <v/>
      </c>
      <c r="T335" s="64"/>
    </row>
    <row r="336" spans="1:20" x14ac:dyDescent="0.2">
      <c r="A336" s="83"/>
      <c r="B336" s="77" t="s">
        <v>153</v>
      </c>
      <c r="C336" s="405"/>
      <c r="D336" s="406"/>
      <c r="E336" s="414" t="s">
        <v>301</v>
      </c>
      <c r="F336" s="415"/>
      <c r="G336" s="459"/>
      <c r="H336" s="460"/>
      <c r="I336" s="461"/>
      <c r="J336" s="414" t="s">
        <v>302</v>
      </c>
      <c r="K336" s="415"/>
      <c r="L336" s="454"/>
      <c r="M336" s="455"/>
      <c r="N336" s="455"/>
      <c r="O336" s="455"/>
      <c r="P336" s="456"/>
      <c r="Q336" s="63"/>
      <c r="R336" s="64"/>
      <c r="S336" s="64"/>
      <c r="T336" s="64"/>
    </row>
    <row r="337" spans="1:20" x14ac:dyDescent="0.2">
      <c r="A337" s="83"/>
      <c r="B337" s="410" t="s">
        <v>116</v>
      </c>
      <c r="C337" s="420"/>
      <c r="D337" s="420"/>
      <c r="E337" s="420"/>
      <c r="F337" s="420"/>
      <c r="G337" s="420"/>
      <c r="H337" s="420"/>
      <c r="I337" s="420"/>
      <c r="J337" s="420"/>
      <c r="K337" s="420"/>
      <c r="L337" s="420"/>
      <c r="M337" s="420"/>
      <c r="N337" s="420"/>
      <c r="O337" s="420"/>
      <c r="P337" s="411"/>
      <c r="Q337" s="63"/>
      <c r="R337" s="64"/>
      <c r="S337" s="64"/>
      <c r="T337" s="64"/>
    </row>
    <row r="338" spans="1:20" x14ac:dyDescent="0.2">
      <c r="A338" s="83"/>
      <c r="B338" s="410" t="s">
        <v>298</v>
      </c>
      <c r="C338" s="420"/>
      <c r="D338" s="411"/>
      <c r="E338" s="405"/>
      <c r="F338" s="406"/>
      <c r="G338" s="410" t="s">
        <v>299</v>
      </c>
      <c r="H338" s="420"/>
      <c r="I338" s="411"/>
      <c r="J338" s="454"/>
      <c r="K338" s="455"/>
      <c r="L338" s="456"/>
      <c r="M338" s="414" t="s">
        <v>300</v>
      </c>
      <c r="N338" s="415"/>
      <c r="O338" s="457"/>
      <c r="P338" s="458"/>
      <c r="Q338" s="63"/>
      <c r="R338" s="64"/>
    </row>
    <row r="339" spans="1:20" ht="13.5" thickBot="1" x14ac:dyDescent="0.25">
      <c r="A339" s="83"/>
      <c r="B339" s="78" t="s">
        <v>153</v>
      </c>
      <c r="C339" s="492"/>
      <c r="D339" s="493"/>
      <c r="E339" s="494" t="s">
        <v>301</v>
      </c>
      <c r="F339" s="495"/>
      <c r="G339" s="496"/>
      <c r="H339" s="497"/>
      <c r="I339" s="498"/>
      <c r="J339" s="414" t="s">
        <v>302</v>
      </c>
      <c r="K339" s="415"/>
      <c r="L339" s="454"/>
      <c r="M339" s="455"/>
      <c r="N339" s="455"/>
      <c r="O339" s="455"/>
      <c r="P339" s="456"/>
      <c r="Q339" s="63"/>
      <c r="R339" s="64"/>
    </row>
    <row r="340" spans="1:20" x14ac:dyDescent="0.2">
      <c r="A340" s="83"/>
      <c r="B340" s="499" t="s">
        <v>126</v>
      </c>
      <c r="C340" s="500"/>
      <c r="D340" s="500"/>
      <c r="E340" s="500"/>
      <c r="F340" s="500"/>
      <c r="G340" s="500"/>
      <c r="H340" s="500"/>
      <c r="I340" s="501"/>
      <c r="J340" s="505"/>
      <c r="K340" s="506"/>
      <c r="L340" s="506"/>
      <c r="M340" s="506"/>
      <c r="N340" s="506"/>
      <c r="O340" s="506"/>
      <c r="P340" s="507"/>
      <c r="Q340" s="63"/>
      <c r="R340" s="64"/>
    </row>
    <row r="341" spans="1:20" x14ac:dyDescent="0.2">
      <c r="A341" s="83"/>
      <c r="B341" s="502"/>
      <c r="C341" s="503"/>
      <c r="D341" s="503"/>
      <c r="E341" s="503"/>
      <c r="F341" s="503"/>
      <c r="G341" s="503"/>
      <c r="H341" s="503"/>
      <c r="I341" s="504"/>
      <c r="J341" s="508"/>
      <c r="K341" s="509"/>
      <c r="L341" s="509"/>
      <c r="M341" s="509"/>
      <c r="N341" s="509"/>
      <c r="O341" s="509"/>
      <c r="P341" s="510"/>
      <c r="Q341" s="63"/>
      <c r="R341" s="64"/>
    </row>
    <row r="342" spans="1:20" x14ac:dyDescent="0.2">
      <c r="A342" s="83"/>
      <c r="B342" s="514" t="s">
        <v>127</v>
      </c>
      <c r="C342" s="515"/>
      <c r="D342" s="515"/>
      <c r="E342" s="515"/>
      <c r="F342" s="515"/>
      <c r="G342" s="515"/>
      <c r="H342" s="515"/>
      <c r="I342" s="516"/>
      <c r="J342" s="508"/>
      <c r="K342" s="509"/>
      <c r="L342" s="509"/>
      <c r="M342" s="509"/>
      <c r="N342" s="509"/>
      <c r="O342" s="509"/>
      <c r="P342" s="510"/>
      <c r="Q342" s="63"/>
      <c r="R342" s="64"/>
    </row>
    <row r="343" spans="1:20" ht="13.5" thickBot="1" x14ac:dyDescent="0.25">
      <c r="A343" s="83"/>
      <c r="B343" s="517"/>
      <c r="C343" s="518"/>
      <c r="D343" s="518"/>
      <c r="E343" s="518"/>
      <c r="F343" s="518"/>
      <c r="G343" s="518"/>
      <c r="H343" s="518"/>
      <c r="I343" s="519"/>
      <c r="J343" s="511"/>
      <c r="K343" s="512"/>
      <c r="L343" s="512"/>
      <c r="M343" s="512"/>
      <c r="N343" s="512"/>
      <c r="O343" s="512"/>
      <c r="P343" s="513"/>
      <c r="Q343" s="63"/>
      <c r="R343" s="64"/>
    </row>
    <row r="344" spans="1:20" x14ac:dyDescent="0.2">
      <c r="A344" s="83"/>
      <c r="B344" s="480" t="s">
        <v>10</v>
      </c>
      <c r="C344" s="481"/>
      <c r="D344" s="481"/>
      <c r="E344" s="481"/>
      <c r="F344" s="481"/>
      <c r="G344" s="481"/>
      <c r="H344" s="481"/>
      <c r="I344" s="482"/>
      <c r="J344" s="79">
        <v>1</v>
      </c>
      <c r="K344" s="483"/>
      <c r="L344" s="484"/>
      <c r="M344" s="484"/>
      <c r="N344" s="484"/>
      <c r="O344" s="484"/>
      <c r="P344" s="485"/>
      <c r="Q344" s="63"/>
      <c r="R344" s="64"/>
    </row>
    <row r="345" spans="1:20" x14ac:dyDescent="0.2">
      <c r="A345" s="83"/>
      <c r="B345" s="486" t="s">
        <v>276</v>
      </c>
      <c r="C345" s="487"/>
      <c r="D345" s="487"/>
      <c r="E345" s="487"/>
      <c r="F345" s="487"/>
      <c r="G345" s="487"/>
      <c r="H345" s="487"/>
      <c r="I345" s="488"/>
      <c r="J345" s="80">
        <v>2</v>
      </c>
      <c r="K345" s="454"/>
      <c r="L345" s="455"/>
      <c r="M345" s="455"/>
      <c r="N345" s="455"/>
      <c r="O345" s="455"/>
      <c r="P345" s="456"/>
      <c r="Q345" s="63"/>
      <c r="R345" s="64"/>
    </row>
    <row r="346" spans="1:20" x14ac:dyDescent="0.2">
      <c r="A346" s="83"/>
      <c r="B346" s="489" t="s">
        <v>234</v>
      </c>
      <c r="C346" s="490"/>
      <c r="D346" s="490"/>
      <c r="E346" s="490"/>
      <c r="F346" s="490"/>
      <c r="G346" s="490"/>
      <c r="H346" s="490"/>
      <c r="I346" s="491"/>
      <c r="J346" s="80">
        <v>3</v>
      </c>
      <c r="K346" s="454"/>
      <c r="L346" s="455"/>
      <c r="M346" s="455"/>
      <c r="N346" s="455"/>
      <c r="O346" s="455"/>
      <c r="P346" s="456"/>
      <c r="Q346" s="63"/>
      <c r="R346" s="64"/>
    </row>
    <row r="347" spans="1:20" x14ac:dyDescent="0.2">
      <c r="A347" s="83"/>
      <c r="B347" s="468"/>
      <c r="C347" s="468"/>
      <c r="D347" s="468"/>
      <c r="E347" s="468"/>
      <c r="F347" s="468"/>
      <c r="G347" s="468"/>
      <c r="H347" s="468"/>
      <c r="I347" s="468"/>
      <c r="J347" s="468"/>
      <c r="K347" s="468"/>
      <c r="L347" s="468"/>
      <c r="M347" s="468"/>
      <c r="N347" s="468"/>
      <c r="O347" s="468"/>
      <c r="P347" s="468"/>
      <c r="Q347" s="63"/>
      <c r="R347" s="64"/>
    </row>
    <row r="348" spans="1:20" ht="12" customHeight="1" x14ac:dyDescent="0.2">
      <c r="A348" s="83"/>
      <c r="B348" s="469" t="s">
        <v>84</v>
      </c>
      <c r="C348" s="471" t="str">
        <f>IF(CODE(B348)=89,"This candidate would like to receive Special","This candidate would not like to receive Special")</f>
        <v>This candidate would like to receive Special</v>
      </c>
      <c r="D348" s="472"/>
      <c r="E348" s="472"/>
      <c r="F348" s="472"/>
      <c r="G348" s="472"/>
      <c r="H348" s="472"/>
      <c r="I348" s="473"/>
      <c r="J348" s="81"/>
      <c r="K348" s="474" t="s">
        <v>206</v>
      </c>
      <c r="L348" s="474"/>
      <c r="M348" s="475"/>
      <c r="N348" s="51" t="str">
        <f>IF($P$33&gt;=10,10,"")</f>
        <v/>
      </c>
      <c r="O348" s="62" t="s">
        <v>52</v>
      </c>
      <c r="P348" s="51" t="str">
        <f>IF($P$33&gt;=10,$P$33,"")</f>
        <v/>
      </c>
      <c r="Q348" s="63"/>
      <c r="R348" s="64"/>
    </row>
    <row r="349" spans="1:20" ht="12" customHeight="1" x14ac:dyDescent="0.2">
      <c r="A349" s="83"/>
      <c r="B349" s="470"/>
      <c r="C349" s="476" t="str">
        <f>IF(CODE(B348)=89,"Announcements and Bulletins from RAD Canada","Announcements and Bulletins from RAD Canada")</f>
        <v>Announcements and Bulletins from RAD Canada</v>
      </c>
      <c r="D349" s="477"/>
      <c r="E349" s="477"/>
      <c r="F349" s="477"/>
      <c r="G349" s="477"/>
      <c r="H349" s="477"/>
      <c r="I349" s="478"/>
      <c r="J349" s="479"/>
      <c r="K349" s="400"/>
      <c r="L349" s="400"/>
      <c r="M349" s="400"/>
      <c r="N349" s="400"/>
      <c r="O349" s="400"/>
      <c r="P349" s="400"/>
      <c r="Q349" s="63"/>
      <c r="R349" s="64"/>
    </row>
    <row r="350" spans="1:20" x14ac:dyDescent="0.2">
      <c r="A350" s="83"/>
      <c r="B350" s="400"/>
      <c r="C350" s="400"/>
      <c r="D350" s="400"/>
      <c r="E350" s="400"/>
      <c r="F350" s="400"/>
      <c r="G350" s="400"/>
      <c r="H350" s="400"/>
      <c r="I350" s="400"/>
      <c r="J350" s="400"/>
      <c r="K350" s="400"/>
      <c r="L350" s="400"/>
      <c r="M350" s="400"/>
      <c r="N350" s="400"/>
      <c r="O350" s="400"/>
      <c r="P350" s="400"/>
      <c r="Q350" s="63"/>
      <c r="R350" s="64"/>
    </row>
    <row r="351" spans="1:20" x14ac:dyDescent="0.2">
      <c r="A351" s="83"/>
      <c r="B351" s="62"/>
      <c r="C351" s="62"/>
      <c r="D351" s="62"/>
      <c r="E351" s="62"/>
      <c r="F351" s="62"/>
      <c r="G351" s="62"/>
      <c r="H351" s="62"/>
      <c r="I351" s="62"/>
      <c r="J351" s="62"/>
      <c r="K351" s="62"/>
      <c r="L351" s="62"/>
      <c r="M351" s="62"/>
      <c r="N351" s="62"/>
      <c r="O351" s="62"/>
      <c r="P351" s="62"/>
      <c r="Q351" s="63"/>
      <c r="R351" s="64"/>
    </row>
    <row r="352" spans="1:20" ht="12" customHeight="1" x14ac:dyDescent="0.2">
      <c r="A352" s="83"/>
      <c r="B352" s="401" t="s">
        <v>233</v>
      </c>
      <c r="C352" s="401"/>
      <c r="D352" s="401"/>
      <c r="E352" s="401"/>
      <c r="F352" s="401"/>
      <c r="G352" s="401"/>
      <c r="H352" s="62"/>
      <c r="I352" s="62"/>
      <c r="J352" s="62"/>
      <c r="K352" s="62"/>
      <c r="L352" s="62"/>
      <c r="M352" s="62"/>
      <c r="N352" s="62"/>
      <c r="O352" s="62"/>
      <c r="P352" s="62"/>
      <c r="Q352" s="63"/>
      <c r="R352" s="64"/>
    </row>
    <row r="353" spans="1:20" ht="15.75" x14ac:dyDescent="0.25">
      <c r="A353" s="83"/>
      <c r="B353" s="401"/>
      <c r="C353" s="401"/>
      <c r="D353" s="401"/>
      <c r="E353" s="401"/>
      <c r="F353" s="401"/>
      <c r="G353" s="401"/>
      <c r="H353" s="82"/>
      <c r="I353" s="403"/>
      <c r="J353" s="403"/>
      <c r="K353" s="403"/>
      <c r="L353" s="403"/>
      <c r="M353" s="403"/>
      <c r="N353" s="403"/>
      <c r="O353" s="403"/>
      <c r="P353" s="403"/>
      <c r="Q353" s="63"/>
      <c r="R353" s="64"/>
    </row>
    <row r="354" spans="1:20" x14ac:dyDescent="0.2">
      <c r="A354" s="83"/>
      <c r="B354" s="400"/>
      <c r="C354" s="400"/>
      <c r="D354" s="400"/>
      <c r="E354" s="400"/>
      <c r="F354" s="400"/>
      <c r="G354" s="400"/>
      <c r="H354" s="400"/>
      <c r="I354" s="400"/>
      <c r="J354" s="400"/>
      <c r="K354" s="400"/>
      <c r="L354" s="400"/>
      <c r="M354" s="403"/>
      <c r="N354" s="403"/>
      <c r="O354" s="403"/>
      <c r="P354" s="403"/>
      <c r="Q354" s="63"/>
      <c r="R354" s="64"/>
    </row>
    <row r="355" spans="1:20" x14ac:dyDescent="0.2">
      <c r="A355" s="83"/>
      <c r="B355" s="404" t="s">
        <v>260</v>
      </c>
      <c r="C355" s="404"/>
      <c r="D355" s="404"/>
      <c r="E355" s="404"/>
      <c r="F355" s="400"/>
      <c r="G355" s="400"/>
      <c r="H355" s="400"/>
      <c r="I355" s="400"/>
      <c r="J355" s="400"/>
      <c r="K355" s="400"/>
      <c r="L355" s="400"/>
      <c r="M355" s="403"/>
      <c r="N355" s="403"/>
      <c r="O355" s="403"/>
      <c r="P355" s="403"/>
      <c r="Q355" s="63"/>
      <c r="R355" s="64"/>
    </row>
    <row r="356" spans="1:20" x14ac:dyDescent="0.2">
      <c r="A356" s="83"/>
      <c r="B356" s="69"/>
      <c r="C356" s="324" t="s">
        <v>75</v>
      </c>
      <c r="D356" s="408"/>
      <c r="E356" s="409"/>
      <c r="F356" s="400"/>
      <c r="G356" s="400"/>
      <c r="H356" s="400"/>
      <c r="I356" s="400"/>
      <c r="J356" s="400"/>
      <c r="K356" s="400"/>
      <c r="L356" s="400"/>
      <c r="M356" s="70"/>
      <c r="N356" s="70"/>
      <c r="O356" s="70"/>
      <c r="P356" s="70"/>
      <c r="Q356" s="63"/>
      <c r="R356" s="64"/>
    </row>
    <row r="357" spans="1:20" ht="12" customHeight="1" x14ac:dyDescent="0.2">
      <c r="A357" s="83"/>
      <c r="B357" s="71"/>
      <c r="C357" s="324" t="s">
        <v>128</v>
      </c>
      <c r="D357" s="408"/>
      <c r="E357" s="409"/>
      <c r="F357" s="400"/>
      <c r="G357" s="400"/>
      <c r="H357" s="400"/>
      <c r="I357" s="400"/>
      <c r="J357" s="400"/>
      <c r="K357" s="400"/>
      <c r="L357" s="400"/>
      <c r="M357" s="407" t="s">
        <v>256</v>
      </c>
      <c r="N357" s="407"/>
      <c r="O357" s="407"/>
      <c r="P357" s="407"/>
      <c r="Q357" s="63"/>
      <c r="R357" s="64"/>
    </row>
    <row r="358" spans="1:20" x14ac:dyDescent="0.2">
      <c r="A358" s="83"/>
      <c r="B358" s="56"/>
      <c r="C358" s="324" t="s">
        <v>275</v>
      </c>
      <c r="D358" s="408"/>
      <c r="E358" s="409"/>
      <c r="F358" s="400"/>
      <c r="G358" s="400"/>
      <c r="H358" s="400"/>
      <c r="I358" s="400"/>
      <c r="J358" s="400"/>
      <c r="K358" s="400"/>
      <c r="L358" s="400"/>
      <c r="M358" s="407"/>
      <c r="N358" s="407"/>
      <c r="O358" s="407"/>
      <c r="P358" s="407"/>
      <c r="Q358" s="63"/>
      <c r="R358" s="64"/>
    </row>
    <row r="359" spans="1:20" x14ac:dyDescent="0.2">
      <c r="A359" s="83"/>
      <c r="B359" s="520"/>
      <c r="C359" s="520"/>
      <c r="D359" s="520"/>
      <c r="E359" s="520"/>
      <c r="F359" s="520"/>
      <c r="G359" s="520"/>
      <c r="H359" s="520"/>
      <c r="I359" s="520"/>
      <c r="J359" s="520"/>
      <c r="K359" s="520"/>
      <c r="L359" s="520"/>
      <c r="M359" s="520"/>
      <c r="N359" s="520"/>
      <c r="O359" s="520"/>
      <c r="P359" s="520"/>
      <c r="Q359" s="63"/>
      <c r="R359" s="64"/>
    </row>
    <row r="360" spans="1:20" x14ac:dyDescent="0.2">
      <c r="A360" s="83"/>
      <c r="B360" s="432" t="s">
        <v>117</v>
      </c>
      <c r="C360" s="433"/>
      <c r="D360" s="434"/>
      <c r="E360" s="442" t="str">
        <f>IF(AND($P$33&gt;=11,NOT(ISBLANK($E$10))),$E$10,"")</f>
        <v/>
      </c>
      <c r="F360" s="443"/>
      <c r="G360" s="444"/>
      <c r="H360" s="414" t="s">
        <v>124</v>
      </c>
      <c r="I360" s="415"/>
      <c r="J360" s="442" t="str">
        <f>IF(AND($P$33&gt;=11,NOT(ISBLANK($J$10))),$J$10,"")</f>
        <v/>
      </c>
      <c r="K360" s="443"/>
      <c r="L360" s="444"/>
      <c r="M360" s="414" t="s">
        <v>118</v>
      </c>
      <c r="N360" s="415"/>
      <c r="O360" s="430" t="str">
        <f>IF(AND($P$33&gt;=11,NOT(ISBLANK($O$10))),$O$10,"")</f>
        <v/>
      </c>
      <c r="P360" s="431"/>
      <c r="Q360" s="63"/>
      <c r="R360" s="545" t="s">
        <v>307</v>
      </c>
      <c r="S360" s="546"/>
      <c r="T360" s="547"/>
    </row>
    <row r="361" spans="1:20" x14ac:dyDescent="0.2">
      <c r="A361" s="83"/>
      <c r="B361" s="432" t="s">
        <v>240</v>
      </c>
      <c r="C361" s="433"/>
      <c r="D361" s="434"/>
      <c r="E361" s="435" t="str">
        <f>IF(NOT($N383=11),"",IF(ISERROR(LOOKUP(11,'Teacher Summary Sheet'!$M$19:$M$181)),"",IF(VLOOKUP(11,'Teacher Summary Sheet'!$M$19:$R$181,2)=0,"",VLOOKUP(11,'Teacher Summary Sheet'!$M$19:$R$181,2))))</f>
        <v/>
      </c>
      <c r="F361" s="436"/>
      <c r="G361" s="437"/>
      <c r="H361" s="438" t="s">
        <v>119</v>
      </c>
      <c r="I361" s="439"/>
      <c r="J361" s="102" t="str">
        <f>IF(NOT($N383=11),"",IF(ISERROR(LOOKUP(11,'Teacher Summary Sheet'!$M$19:$M$181)),"",IF(VLOOKUP(11,'Teacher Summary Sheet'!$M$19:$R$181,6)=0,"",VLOOKUP(11,'Teacher Summary Sheet'!$M$19:$R$181,6))))</f>
        <v/>
      </c>
      <c r="K361" s="414" t="s">
        <v>179</v>
      </c>
      <c r="L361" s="419"/>
      <c r="M361" s="415"/>
      <c r="N361" s="412" t="str">
        <f>IF(NOT($N383=11),"",IF(ISERROR(LOOKUP(11,'Teacher Summary Sheet'!$M$19:$M$181)),"",IF('Teacher Summary Sheet'!$F$31=0,"",'Teacher Summary Sheet'!$F$31)))</f>
        <v/>
      </c>
      <c r="O361" s="440"/>
      <c r="P361" s="413"/>
      <c r="Q361" s="63"/>
      <c r="R361" s="548"/>
      <c r="S361" s="549"/>
      <c r="T361" s="550"/>
    </row>
    <row r="362" spans="1:20" ht="14.25" x14ac:dyDescent="0.2">
      <c r="A362" s="83"/>
      <c r="B362" s="410" t="s">
        <v>241</v>
      </c>
      <c r="C362" s="420"/>
      <c r="D362" s="411"/>
      <c r="E362" s="421" t="str">
        <f>IF(NOT($N383=11),"",IF(ISERROR(LOOKUP(11,'Teacher Summary Sheet'!$M$19:$M$181)),"",IF(VLOOKUP(11,'Teacher Summary Sheet'!$M$19:$R$181,3)=0,"",VLOOKUP(11,'Teacher Summary Sheet'!$M$19:$R$181,3))))</f>
        <v/>
      </c>
      <c r="F362" s="422"/>
      <c r="G362" s="422"/>
      <c r="H362" s="422"/>
      <c r="I362" s="423"/>
      <c r="J362" s="414" t="s">
        <v>124</v>
      </c>
      <c r="K362" s="415"/>
      <c r="L362" s="424" t="str">
        <f>IF(NOT($N383=11),"",IF(ISERROR(LOOKUP(11,'Teacher Summary Sheet'!$M$19:$M$181)),"",IF(VLOOKUP(11,'Teacher Summary Sheet'!$M$19:$R$181,4)=0,"",VLOOKUP(11,'Teacher Summary Sheet'!$M$19:$R$181,4))))</f>
        <v/>
      </c>
      <c r="M362" s="425"/>
      <c r="N362" s="425"/>
      <c r="O362" s="425"/>
      <c r="P362" s="426"/>
      <c r="Q362" s="63"/>
      <c r="R362" s="125" t="str">
        <f>IF(NOT(N383=11),"",IF(COUNTIF(R364:R370,"P")=7,"P","O"))</f>
        <v/>
      </c>
      <c r="S362" s="110" t="str">
        <f>IF(NOT(N383=11),"",IF(COUNTIF(R364:R370,"P")=7,"Complete","Incomplete"))</f>
        <v/>
      </c>
      <c r="T362" s="111"/>
    </row>
    <row r="363" spans="1:20" x14ac:dyDescent="0.2">
      <c r="A363" s="83"/>
      <c r="B363" s="410" t="s">
        <v>120</v>
      </c>
      <c r="C363" s="420"/>
      <c r="D363" s="411"/>
      <c r="E363" s="427"/>
      <c r="F363" s="428"/>
      <c r="G363" s="428"/>
      <c r="H363" s="428"/>
      <c r="I363" s="428"/>
      <c r="J363" s="429"/>
      <c r="K363" s="62" t="s">
        <v>121</v>
      </c>
      <c r="L363" s="427"/>
      <c r="M363" s="428"/>
      <c r="N363" s="428"/>
      <c r="O363" s="428"/>
      <c r="P363" s="429"/>
      <c r="Q363" s="63"/>
    </row>
    <row r="364" spans="1:20" ht="14.25" x14ac:dyDescent="0.2">
      <c r="A364" s="83"/>
      <c r="B364" s="410" t="s">
        <v>196</v>
      </c>
      <c r="C364" s="420"/>
      <c r="D364" s="411"/>
      <c r="E364" s="427"/>
      <c r="F364" s="428"/>
      <c r="G364" s="428"/>
      <c r="H364" s="428"/>
      <c r="I364" s="429"/>
      <c r="J364" s="73" t="s">
        <v>197</v>
      </c>
      <c r="K364" s="405"/>
      <c r="L364" s="406"/>
      <c r="M364" s="414" t="s">
        <v>212</v>
      </c>
      <c r="N364" s="415"/>
      <c r="O364" s="405"/>
      <c r="P364" s="406"/>
      <c r="Q364" s="63"/>
      <c r="R364" s="124" t="str">
        <f>IF(NOT(N383=11),"",IF(OR(COUNTBLANK(E362:E362)=1,COUNTBLANK(L362:L362)=1),"O","P"))</f>
        <v/>
      </c>
      <c r="S364" s="108" t="str">
        <f>IF(NOT(N383=11),"","Candidate Name")</f>
        <v/>
      </c>
      <c r="T364" s="64"/>
    </row>
    <row r="365" spans="1:20" ht="14.25" x14ac:dyDescent="0.2">
      <c r="A365" s="83"/>
      <c r="B365" s="410" t="s">
        <v>198</v>
      </c>
      <c r="C365" s="420"/>
      <c r="D365" s="411"/>
      <c r="E365" s="454"/>
      <c r="F365" s="455"/>
      <c r="G365" s="455"/>
      <c r="H365" s="456"/>
      <c r="I365" s="74" t="s">
        <v>199</v>
      </c>
      <c r="J365" s="427"/>
      <c r="K365" s="428"/>
      <c r="L365" s="428"/>
      <c r="M365" s="428"/>
      <c r="N365" s="428"/>
      <c r="O365" s="428"/>
      <c r="P365" s="429"/>
      <c r="Q365" s="63"/>
      <c r="R365" s="124" t="str">
        <f>IF(NOT(N383=11),"",IF(COUNTBLANK(E361:E361)=1,"O","P"))</f>
        <v/>
      </c>
      <c r="S365" s="108" t="str">
        <f>IF(NOT(N383=11),"","Candidate ID")</f>
        <v/>
      </c>
      <c r="T365" s="64"/>
    </row>
    <row r="366" spans="1:20" ht="14.25" x14ac:dyDescent="0.2">
      <c r="A366" s="83"/>
      <c r="B366" s="410" t="s">
        <v>227</v>
      </c>
      <c r="C366" s="420"/>
      <c r="D366" s="411"/>
      <c r="E366" s="75" t="s">
        <v>218</v>
      </c>
      <c r="F366" s="405"/>
      <c r="G366" s="406"/>
      <c r="H366" s="75" t="s">
        <v>138</v>
      </c>
      <c r="I366" s="449"/>
      <c r="J366" s="450"/>
      <c r="K366" s="76" t="s">
        <v>139</v>
      </c>
      <c r="L366" s="451"/>
      <c r="M366" s="452"/>
      <c r="N366" s="76" t="s">
        <v>228</v>
      </c>
      <c r="O366" s="453" t="str">
        <f ca="1">IF(OR(ISBLANK(L366),ISBLANK(I366),ISBLANK(F366),COUNTBLANK(J361:J361)=1),"",IF(DATEDIF(DATE(L366,VLOOKUP(I366,data!$T$2:$U$13,2,FALSE),F366),IF(AND(TODAY()&lt;data!$AJ$12,TODAY()&gt;data!$AI$12),data!$AI$3,data!$AJ$3),"Y")&gt;=data!$AC$13,YEAR(TODAY())-L366,data!$AD$3))</f>
        <v/>
      </c>
      <c r="P366" s="523"/>
      <c r="Q366" s="63"/>
      <c r="R366" s="124" t="str">
        <f>IF(NOT(N383=11),"",IF(OR(ISBLANK(E363),ISBLANK(L363),ISBLANK(K364),ISBLANK(O364)),"O","P"))</f>
        <v/>
      </c>
      <c r="S366" s="108" t="str">
        <f>IF(NOT(N383=11),"","Address")</f>
        <v/>
      </c>
      <c r="T366" s="64"/>
    </row>
    <row r="367" spans="1:20" ht="15" thickBot="1" x14ac:dyDescent="0.25">
      <c r="A367" s="83"/>
      <c r="B367" s="410" t="s">
        <v>214</v>
      </c>
      <c r="C367" s="411"/>
      <c r="D367" s="412" t="str">
        <f>IF(NOT($N383=11),"",IF(ISERROR(LOOKUP(11,'Teacher Summary Sheet'!$M$19:$M$181)),"",IF(VLOOKUP(11,'Teacher Summary Sheet'!$M$19:$R$181,5)=0,"",VLOOKUP(11,'Teacher Summary Sheet'!$M$19:$R$181,5))))</f>
        <v/>
      </c>
      <c r="E367" s="413"/>
      <c r="F367" s="414" t="s">
        <v>319</v>
      </c>
      <c r="G367" s="415"/>
      <c r="H367" s="416"/>
      <c r="I367" s="417"/>
      <c r="J367" s="418"/>
      <c r="K367" s="414" t="s">
        <v>320</v>
      </c>
      <c r="L367" s="419"/>
      <c r="M367" s="419"/>
      <c r="N367" s="415"/>
      <c r="O367" s="405" t="s">
        <v>268</v>
      </c>
      <c r="P367" s="406"/>
      <c r="Q367" s="63"/>
      <c r="R367" s="124" t="str">
        <f>IF(NOT(N383=11),"",IF(OR(ISBLANK(F366),ISBLANK(I366),ISBLANK(L366)),"O","P"))</f>
        <v/>
      </c>
      <c r="S367" s="108" t="str">
        <f>IF(NOT(N383=11),"","Date of Birth")</f>
        <v/>
      </c>
      <c r="T367" s="64"/>
    </row>
    <row r="368" spans="1:20" ht="14.25" x14ac:dyDescent="0.2">
      <c r="A368" s="83"/>
      <c r="B368" s="522" t="s">
        <v>297</v>
      </c>
      <c r="C368" s="463"/>
      <c r="D368" s="463"/>
      <c r="E368" s="463"/>
      <c r="F368" s="463"/>
      <c r="G368" s="463"/>
      <c r="H368" s="463"/>
      <c r="I368" s="463"/>
      <c r="J368" s="463"/>
      <c r="K368" s="463"/>
      <c r="L368" s="463"/>
      <c r="M368" s="463"/>
      <c r="N368" s="463"/>
      <c r="O368" s="463"/>
      <c r="P368" s="464"/>
      <c r="Q368" s="63"/>
      <c r="R368" s="124" t="str">
        <f>IF(NOT(N383=11),"",IF(COUNTBLANK(J361:J361)=1,"O","P"))</f>
        <v/>
      </c>
      <c r="S368" s="112" t="str">
        <f>IF(NOT(N383=11),"","Exam Level")</f>
        <v/>
      </c>
      <c r="T368" s="64"/>
    </row>
    <row r="369" spans="1:20" ht="14.25" x14ac:dyDescent="0.2">
      <c r="A369" s="83"/>
      <c r="B369" s="465"/>
      <c r="C369" s="466"/>
      <c r="D369" s="466"/>
      <c r="E369" s="466"/>
      <c r="F369" s="466"/>
      <c r="G369" s="466"/>
      <c r="H369" s="466"/>
      <c r="I369" s="466"/>
      <c r="J369" s="466"/>
      <c r="K369" s="466"/>
      <c r="L369" s="466"/>
      <c r="M369" s="466"/>
      <c r="N369" s="466"/>
      <c r="O369" s="466"/>
      <c r="P369" s="467"/>
      <c r="Q369" s="63"/>
      <c r="R369" s="124" t="str">
        <f>IF(NOT(N383=11),"",IF(COUNTBLANK(D367:D367)=1,"O","P"))</f>
        <v/>
      </c>
      <c r="S369" s="109" t="str">
        <f>IF(NOT(N383=11),"","Gender")</f>
        <v/>
      </c>
      <c r="T369" s="64"/>
    </row>
    <row r="370" spans="1:20" ht="14.25" x14ac:dyDescent="0.2">
      <c r="A370" s="83"/>
      <c r="B370" s="432" t="s">
        <v>298</v>
      </c>
      <c r="C370" s="433"/>
      <c r="D370" s="434"/>
      <c r="E370" s="405"/>
      <c r="F370" s="406"/>
      <c r="G370" s="432" t="s">
        <v>299</v>
      </c>
      <c r="H370" s="433"/>
      <c r="I370" s="434"/>
      <c r="J370" s="405"/>
      <c r="K370" s="448"/>
      <c r="L370" s="406"/>
      <c r="M370" s="414" t="s">
        <v>300</v>
      </c>
      <c r="N370" s="415"/>
      <c r="O370" s="457"/>
      <c r="P370" s="458"/>
      <c r="Q370" s="63"/>
      <c r="R370" s="124" t="str">
        <f>IF(NOT(N383=11),"",IF(ISBLANK(H367),"O","P"))</f>
        <v/>
      </c>
      <c r="S370" s="109" t="str">
        <f>IF(NOT(N383=11),"","Height")</f>
        <v/>
      </c>
      <c r="T370" s="64"/>
    </row>
    <row r="371" spans="1:20" x14ac:dyDescent="0.2">
      <c r="A371" s="83"/>
      <c r="B371" s="77" t="s">
        <v>153</v>
      </c>
      <c r="C371" s="405"/>
      <c r="D371" s="406"/>
      <c r="E371" s="414" t="s">
        <v>301</v>
      </c>
      <c r="F371" s="415"/>
      <c r="G371" s="459"/>
      <c r="H371" s="460"/>
      <c r="I371" s="461"/>
      <c r="J371" s="414" t="s">
        <v>302</v>
      </c>
      <c r="K371" s="415"/>
      <c r="L371" s="454"/>
      <c r="M371" s="455"/>
      <c r="N371" s="455"/>
      <c r="O371" s="455"/>
      <c r="P371" s="456"/>
      <c r="Q371" s="63"/>
      <c r="R371" s="64"/>
      <c r="S371" s="64"/>
      <c r="T371" s="64"/>
    </row>
    <row r="372" spans="1:20" x14ac:dyDescent="0.2">
      <c r="A372" s="83"/>
      <c r="B372" s="410" t="s">
        <v>116</v>
      </c>
      <c r="C372" s="420"/>
      <c r="D372" s="420"/>
      <c r="E372" s="420"/>
      <c r="F372" s="420"/>
      <c r="G372" s="420"/>
      <c r="H372" s="420"/>
      <c r="I372" s="420"/>
      <c r="J372" s="420"/>
      <c r="K372" s="420"/>
      <c r="L372" s="420"/>
      <c r="M372" s="420"/>
      <c r="N372" s="420"/>
      <c r="O372" s="420"/>
      <c r="P372" s="411"/>
      <c r="Q372" s="63"/>
      <c r="R372" s="64"/>
      <c r="S372" s="64"/>
      <c r="T372" s="64"/>
    </row>
    <row r="373" spans="1:20" x14ac:dyDescent="0.2">
      <c r="A373" s="83"/>
      <c r="B373" s="410" t="s">
        <v>298</v>
      </c>
      <c r="C373" s="420"/>
      <c r="D373" s="411"/>
      <c r="E373" s="405"/>
      <c r="F373" s="406"/>
      <c r="G373" s="410" t="s">
        <v>299</v>
      </c>
      <c r="H373" s="420"/>
      <c r="I373" s="411"/>
      <c r="J373" s="454"/>
      <c r="K373" s="455"/>
      <c r="L373" s="456"/>
      <c r="M373" s="414" t="s">
        <v>300</v>
      </c>
      <c r="N373" s="415"/>
      <c r="O373" s="457"/>
      <c r="P373" s="458"/>
      <c r="Q373" s="63"/>
      <c r="R373" s="64"/>
    </row>
    <row r="374" spans="1:20" ht="13.5" thickBot="1" x14ac:dyDescent="0.25">
      <c r="A374" s="83"/>
      <c r="B374" s="78" t="s">
        <v>153</v>
      </c>
      <c r="C374" s="535"/>
      <c r="D374" s="536"/>
      <c r="E374" s="537" t="s">
        <v>301</v>
      </c>
      <c r="F374" s="538"/>
      <c r="G374" s="539"/>
      <c r="H374" s="540"/>
      <c r="I374" s="541"/>
      <c r="J374" s="537" t="s">
        <v>302</v>
      </c>
      <c r="K374" s="538"/>
      <c r="L374" s="542"/>
      <c r="M374" s="543"/>
      <c r="N374" s="543"/>
      <c r="O374" s="543"/>
      <c r="P374" s="544"/>
      <c r="Q374" s="63"/>
      <c r="R374" s="64"/>
    </row>
    <row r="375" spans="1:20" ht="12" customHeight="1" x14ac:dyDescent="0.2">
      <c r="A375" s="83"/>
      <c r="B375" s="499" t="s">
        <v>126</v>
      </c>
      <c r="C375" s="500"/>
      <c r="D375" s="500"/>
      <c r="E375" s="500"/>
      <c r="F375" s="500"/>
      <c r="G375" s="500"/>
      <c r="H375" s="500"/>
      <c r="I375" s="501"/>
      <c r="J375" s="505"/>
      <c r="K375" s="506"/>
      <c r="L375" s="506"/>
      <c r="M375" s="506"/>
      <c r="N375" s="506"/>
      <c r="O375" s="506"/>
      <c r="P375" s="507"/>
      <c r="Q375" s="63"/>
      <c r="R375" s="64"/>
    </row>
    <row r="376" spans="1:20" x14ac:dyDescent="0.2">
      <c r="A376" s="83"/>
      <c r="B376" s="502"/>
      <c r="C376" s="503"/>
      <c r="D376" s="503"/>
      <c r="E376" s="503"/>
      <c r="F376" s="503"/>
      <c r="G376" s="503"/>
      <c r="H376" s="503"/>
      <c r="I376" s="504"/>
      <c r="J376" s="508"/>
      <c r="K376" s="509"/>
      <c r="L376" s="509"/>
      <c r="M376" s="509"/>
      <c r="N376" s="509"/>
      <c r="O376" s="509"/>
      <c r="P376" s="510"/>
      <c r="Q376" s="63"/>
      <c r="R376" s="64"/>
    </row>
    <row r="377" spans="1:20" ht="12" customHeight="1" x14ac:dyDescent="0.2">
      <c r="A377" s="83"/>
      <c r="B377" s="514" t="s">
        <v>127</v>
      </c>
      <c r="C377" s="515"/>
      <c r="D377" s="515"/>
      <c r="E377" s="515"/>
      <c r="F377" s="515"/>
      <c r="G377" s="515"/>
      <c r="H377" s="515"/>
      <c r="I377" s="516"/>
      <c r="J377" s="508"/>
      <c r="K377" s="509"/>
      <c r="L377" s="509"/>
      <c r="M377" s="509"/>
      <c r="N377" s="509"/>
      <c r="O377" s="509"/>
      <c r="P377" s="510"/>
      <c r="Q377" s="63"/>
      <c r="R377" s="64"/>
    </row>
    <row r="378" spans="1:20" ht="13.5" thickBot="1" x14ac:dyDescent="0.25">
      <c r="A378" s="83"/>
      <c r="B378" s="517"/>
      <c r="C378" s="518"/>
      <c r="D378" s="518"/>
      <c r="E378" s="518"/>
      <c r="F378" s="518"/>
      <c r="G378" s="518"/>
      <c r="H378" s="518"/>
      <c r="I378" s="519"/>
      <c r="J378" s="511"/>
      <c r="K378" s="512"/>
      <c r="L378" s="512"/>
      <c r="M378" s="512"/>
      <c r="N378" s="512"/>
      <c r="O378" s="512"/>
      <c r="P378" s="513"/>
      <c r="Q378" s="63"/>
      <c r="R378" s="64"/>
    </row>
    <row r="379" spans="1:20" x14ac:dyDescent="0.2">
      <c r="A379" s="83"/>
      <c r="B379" s="480" t="s">
        <v>10</v>
      </c>
      <c r="C379" s="481"/>
      <c r="D379" s="481"/>
      <c r="E379" s="481"/>
      <c r="F379" s="481"/>
      <c r="G379" s="481"/>
      <c r="H379" s="481"/>
      <c r="I379" s="482"/>
      <c r="J379" s="79">
        <v>1</v>
      </c>
      <c r="K379" s="528"/>
      <c r="L379" s="529"/>
      <c r="M379" s="529"/>
      <c r="N379" s="529"/>
      <c r="O379" s="529"/>
      <c r="P379" s="530"/>
      <c r="Q379" s="63"/>
      <c r="R379" s="64"/>
    </row>
    <row r="380" spans="1:20" ht="12" customHeight="1" x14ac:dyDescent="0.2">
      <c r="A380" s="83"/>
      <c r="B380" s="486" t="s">
        <v>276</v>
      </c>
      <c r="C380" s="531"/>
      <c r="D380" s="531"/>
      <c r="E380" s="531"/>
      <c r="F380" s="531"/>
      <c r="G380" s="531"/>
      <c r="H380" s="531"/>
      <c r="I380" s="532"/>
      <c r="J380" s="80">
        <v>2</v>
      </c>
      <c r="K380" s="454"/>
      <c r="L380" s="455"/>
      <c r="M380" s="455"/>
      <c r="N380" s="455"/>
      <c r="O380" s="455"/>
      <c r="P380" s="456"/>
      <c r="Q380" s="63"/>
      <c r="R380" s="64"/>
    </row>
    <row r="381" spans="1:20" ht="12" customHeight="1" x14ac:dyDescent="0.2">
      <c r="A381" s="83"/>
      <c r="B381" s="489" t="s">
        <v>234</v>
      </c>
      <c r="C381" s="533"/>
      <c r="D381" s="533"/>
      <c r="E381" s="533"/>
      <c r="F381" s="533"/>
      <c r="G381" s="533"/>
      <c r="H381" s="533"/>
      <c r="I381" s="534"/>
      <c r="J381" s="80">
        <v>3</v>
      </c>
      <c r="K381" s="454"/>
      <c r="L381" s="455"/>
      <c r="M381" s="455"/>
      <c r="N381" s="455"/>
      <c r="O381" s="455"/>
      <c r="P381" s="456"/>
      <c r="Q381" s="63"/>
      <c r="R381" s="64"/>
    </row>
    <row r="382" spans="1:20" x14ac:dyDescent="0.2">
      <c r="A382" s="83"/>
      <c r="B382" s="468"/>
      <c r="C382" s="468"/>
      <c r="D382" s="468"/>
      <c r="E382" s="468"/>
      <c r="F382" s="468"/>
      <c r="G382" s="468"/>
      <c r="H382" s="468"/>
      <c r="I382" s="468"/>
      <c r="J382" s="468"/>
      <c r="K382" s="468"/>
      <c r="L382" s="468"/>
      <c r="M382" s="468"/>
      <c r="N382" s="468"/>
      <c r="O382" s="468"/>
      <c r="P382" s="468"/>
      <c r="Q382" s="63"/>
      <c r="R382" s="64"/>
    </row>
    <row r="383" spans="1:20" ht="12" customHeight="1" x14ac:dyDescent="0.2">
      <c r="A383" s="83"/>
      <c r="B383" s="469" t="s">
        <v>84</v>
      </c>
      <c r="C383" s="471" t="str">
        <f>IF(CODE(B383)=89,"This candidate would like to receive Special","This candidate would not like to receive Special")</f>
        <v>This candidate would like to receive Special</v>
      </c>
      <c r="D383" s="524"/>
      <c r="E383" s="524"/>
      <c r="F383" s="524"/>
      <c r="G383" s="524"/>
      <c r="H383" s="524"/>
      <c r="I383" s="525"/>
      <c r="J383" s="81"/>
      <c r="K383" s="474" t="s">
        <v>205</v>
      </c>
      <c r="L383" s="474"/>
      <c r="M383" s="475"/>
      <c r="N383" s="51" t="str">
        <f>IF($P$33&gt;=11,11,"")</f>
        <v/>
      </c>
      <c r="O383" s="62" t="s">
        <v>52</v>
      </c>
      <c r="P383" s="51" t="str">
        <f>IF($P$33&gt;=11,$P$33,"")</f>
        <v/>
      </c>
      <c r="Q383" s="63"/>
      <c r="R383" s="64"/>
    </row>
    <row r="384" spans="1:20" ht="12" customHeight="1" x14ac:dyDescent="0.2">
      <c r="A384" s="83"/>
      <c r="B384" s="470"/>
      <c r="C384" s="476" t="str">
        <f>IF(CODE(B383)=89,"Announcements and Bulletins from RAD Canada","Announcements and Bulletins from RAD Canada")</f>
        <v>Announcements and Bulletins from RAD Canada</v>
      </c>
      <c r="D384" s="526"/>
      <c r="E384" s="526"/>
      <c r="F384" s="526"/>
      <c r="G384" s="526"/>
      <c r="H384" s="526"/>
      <c r="I384" s="527"/>
      <c r="J384" s="479"/>
      <c r="K384" s="290"/>
      <c r="L384" s="290"/>
      <c r="M384" s="290"/>
      <c r="N384" s="290"/>
      <c r="O384" s="290"/>
      <c r="P384" s="290"/>
      <c r="Q384" s="63"/>
      <c r="R384" s="64"/>
    </row>
    <row r="385" spans="1:20" x14ac:dyDescent="0.2">
      <c r="A385" s="83"/>
      <c r="B385" s="400"/>
      <c r="C385" s="400"/>
      <c r="D385" s="400"/>
      <c r="E385" s="400"/>
      <c r="F385" s="400"/>
      <c r="G385" s="400"/>
      <c r="H385" s="400"/>
      <c r="I385" s="400"/>
      <c r="J385" s="400"/>
      <c r="K385" s="400"/>
      <c r="L385" s="400"/>
      <c r="M385" s="400"/>
      <c r="N385" s="400"/>
      <c r="O385" s="400"/>
      <c r="P385" s="400"/>
      <c r="Q385" s="63"/>
      <c r="R385" s="64"/>
    </row>
    <row r="386" spans="1:20" x14ac:dyDescent="0.2">
      <c r="A386" s="83"/>
      <c r="B386" s="62"/>
      <c r="C386" s="62"/>
      <c r="D386" s="62"/>
      <c r="E386" s="62"/>
      <c r="F386" s="62"/>
      <c r="G386" s="62"/>
      <c r="H386" s="62"/>
      <c r="I386" s="62"/>
      <c r="J386" s="62"/>
      <c r="K386" s="62"/>
      <c r="L386" s="62"/>
      <c r="M386" s="62"/>
      <c r="N386" s="62"/>
      <c r="O386" s="62"/>
      <c r="P386" s="62"/>
      <c r="Q386" s="63"/>
      <c r="R386" s="64"/>
    </row>
    <row r="387" spans="1:20" x14ac:dyDescent="0.2">
      <c r="A387" s="83"/>
      <c r="B387" s="401" t="s">
        <v>233</v>
      </c>
      <c r="C387" s="402"/>
      <c r="D387" s="402"/>
      <c r="E387" s="402"/>
      <c r="F387" s="402"/>
      <c r="G387" s="402"/>
      <c r="H387" s="62"/>
      <c r="I387" s="62"/>
      <c r="J387" s="62"/>
      <c r="K387" s="62"/>
      <c r="L387" s="62"/>
      <c r="M387" s="62"/>
      <c r="N387" s="62"/>
      <c r="O387" s="62"/>
      <c r="P387" s="62"/>
      <c r="Q387" s="63"/>
      <c r="R387" s="64"/>
    </row>
    <row r="388" spans="1:20" ht="15.75" x14ac:dyDescent="0.25">
      <c r="A388" s="83"/>
      <c r="B388" s="402"/>
      <c r="C388" s="402"/>
      <c r="D388" s="402"/>
      <c r="E388" s="402"/>
      <c r="F388" s="402"/>
      <c r="G388" s="402"/>
      <c r="H388" s="82"/>
      <c r="I388" s="403"/>
      <c r="J388" s="403"/>
      <c r="K388" s="403"/>
      <c r="L388" s="403"/>
      <c r="M388" s="403"/>
      <c r="N388" s="403"/>
      <c r="O388" s="403"/>
      <c r="P388" s="403"/>
      <c r="Q388" s="63"/>
      <c r="R388" s="64"/>
    </row>
    <row r="389" spans="1:20" x14ac:dyDescent="0.2">
      <c r="A389" s="83"/>
      <c r="B389" s="400"/>
      <c r="C389" s="400"/>
      <c r="D389" s="400"/>
      <c r="E389" s="400"/>
      <c r="F389" s="400"/>
      <c r="G389" s="400"/>
      <c r="H389" s="400"/>
      <c r="I389" s="400"/>
      <c r="J389" s="400"/>
      <c r="K389" s="400"/>
      <c r="L389" s="400"/>
      <c r="M389" s="403"/>
      <c r="N389" s="403"/>
      <c r="O389" s="403"/>
      <c r="P389" s="403"/>
      <c r="Q389" s="63"/>
      <c r="R389" s="64"/>
    </row>
    <row r="390" spans="1:20" x14ac:dyDescent="0.2">
      <c r="A390" s="83"/>
      <c r="B390" s="404" t="s">
        <v>260</v>
      </c>
      <c r="C390" s="404"/>
      <c r="D390" s="404"/>
      <c r="E390" s="404"/>
      <c r="F390" s="400"/>
      <c r="G390" s="400"/>
      <c r="H390" s="400"/>
      <c r="I390" s="400"/>
      <c r="J390" s="400"/>
      <c r="K390" s="400"/>
      <c r="L390" s="400"/>
      <c r="M390" s="403"/>
      <c r="N390" s="403"/>
      <c r="O390" s="403"/>
      <c r="P390" s="403"/>
      <c r="Q390" s="63"/>
      <c r="R390" s="64"/>
    </row>
    <row r="391" spans="1:20" x14ac:dyDescent="0.2">
      <c r="A391" s="83"/>
      <c r="B391" s="69"/>
      <c r="C391" s="324" t="s">
        <v>75</v>
      </c>
      <c r="D391" s="408"/>
      <c r="E391" s="409"/>
      <c r="F391" s="400"/>
      <c r="G391" s="400"/>
      <c r="H391" s="400"/>
      <c r="I391" s="400"/>
      <c r="J391" s="400"/>
      <c r="K391" s="400"/>
      <c r="L391" s="400"/>
      <c r="M391" s="70"/>
      <c r="N391" s="70"/>
      <c r="O391" s="70"/>
      <c r="P391" s="70"/>
      <c r="Q391" s="63"/>
      <c r="R391" s="64"/>
    </row>
    <row r="392" spans="1:20" x14ac:dyDescent="0.2">
      <c r="A392" s="83"/>
      <c r="B392" s="71"/>
      <c r="C392" s="324" t="s">
        <v>128</v>
      </c>
      <c r="D392" s="408"/>
      <c r="E392" s="409"/>
      <c r="F392" s="400"/>
      <c r="G392" s="400"/>
      <c r="H392" s="400"/>
      <c r="I392" s="400"/>
      <c r="J392" s="400"/>
      <c r="K392" s="400"/>
      <c r="L392" s="400"/>
      <c r="M392" s="407" t="s">
        <v>256</v>
      </c>
      <c r="N392" s="407"/>
      <c r="O392" s="407"/>
      <c r="P392" s="407"/>
      <c r="Q392" s="63"/>
      <c r="R392" s="64"/>
    </row>
    <row r="393" spans="1:20" x14ac:dyDescent="0.2">
      <c r="A393" s="83"/>
      <c r="B393" s="56"/>
      <c r="C393" s="324" t="s">
        <v>275</v>
      </c>
      <c r="D393" s="408"/>
      <c r="E393" s="409"/>
      <c r="F393" s="400"/>
      <c r="G393" s="400"/>
      <c r="H393" s="400"/>
      <c r="I393" s="400"/>
      <c r="J393" s="400"/>
      <c r="K393" s="400"/>
      <c r="L393" s="400"/>
      <c r="M393" s="407"/>
      <c r="N393" s="407"/>
      <c r="O393" s="407"/>
      <c r="P393" s="407"/>
      <c r="Q393" s="63"/>
      <c r="R393" s="64"/>
    </row>
    <row r="394" spans="1:20" x14ac:dyDescent="0.2">
      <c r="A394" s="83"/>
      <c r="B394" s="520"/>
      <c r="C394" s="520"/>
      <c r="D394" s="520"/>
      <c r="E394" s="520"/>
      <c r="F394" s="520"/>
      <c r="G394" s="520"/>
      <c r="H394" s="520"/>
      <c r="I394" s="520"/>
      <c r="J394" s="520"/>
      <c r="K394" s="520"/>
      <c r="L394" s="520"/>
      <c r="M394" s="520"/>
      <c r="N394" s="520"/>
      <c r="O394" s="520"/>
      <c r="P394" s="520"/>
      <c r="Q394" s="63"/>
      <c r="R394" s="64"/>
    </row>
    <row r="395" spans="1:20" x14ac:dyDescent="0.2">
      <c r="A395" s="83"/>
      <c r="B395" s="432" t="s">
        <v>117</v>
      </c>
      <c r="C395" s="433"/>
      <c r="D395" s="434"/>
      <c r="E395" s="442" t="str">
        <f>IF(AND($P$33&gt;=12,NOT(ISBLANK($E$10))),$E$10,"")</f>
        <v/>
      </c>
      <c r="F395" s="443"/>
      <c r="G395" s="444"/>
      <c r="H395" s="414" t="s">
        <v>124</v>
      </c>
      <c r="I395" s="415"/>
      <c r="J395" s="442" t="str">
        <f>IF(AND($P$33&gt;=12,NOT(ISBLANK($J$10))),$J$10,"")</f>
        <v/>
      </c>
      <c r="K395" s="443"/>
      <c r="L395" s="444"/>
      <c r="M395" s="414" t="s">
        <v>118</v>
      </c>
      <c r="N395" s="415"/>
      <c r="O395" s="430" t="str">
        <f>IF(AND($P$33&gt;=12,NOT(ISBLANK($O$10))),$O$10,"")</f>
        <v/>
      </c>
      <c r="P395" s="521"/>
      <c r="Q395" s="63"/>
      <c r="R395" s="545" t="s">
        <v>307</v>
      </c>
      <c r="S395" s="546"/>
      <c r="T395" s="547"/>
    </row>
    <row r="396" spans="1:20" x14ac:dyDescent="0.2">
      <c r="A396" s="83"/>
      <c r="B396" s="432" t="s">
        <v>240</v>
      </c>
      <c r="C396" s="433"/>
      <c r="D396" s="434"/>
      <c r="E396" s="435" t="str">
        <f>IF(NOT($N418=12),"",IF(ISERROR(LOOKUP(12,'Teacher Summary Sheet'!$M$19:$M$181)),"",IF(VLOOKUP(12,'Teacher Summary Sheet'!$M$19:$R$181,2)=0,"",VLOOKUP(12,'Teacher Summary Sheet'!$M$19:$R$181,2))))</f>
        <v/>
      </c>
      <c r="F396" s="436"/>
      <c r="G396" s="437"/>
      <c r="H396" s="438" t="s">
        <v>119</v>
      </c>
      <c r="I396" s="439"/>
      <c r="J396" s="102" t="str">
        <f>IF(NOT($N418=12),"",IF(ISERROR(LOOKUP(12,'Teacher Summary Sheet'!$M$19:$M$181)),"",IF(VLOOKUP(12,'Teacher Summary Sheet'!$M$19:$R$181,6)=0,"",VLOOKUP(12,'Teacher Summary Sheet'!$M$19:$R$181,6))))</f>
        <v/>
      </c>
      <c r="K396" s="414" t="s">
        <v>179</v>
      </c>
      <c r="L396" s="419"/>
      <c r="M396" s="415"/>
      <c r="N396" s="412" t="str">
        <f>IF(NOT($N418=12),"",IF(ISERROR(LOOKUP(12,'Teacher Summary Sheet'!$M$19:$M$181)),"",IF('Teacher Summary Sheet'!$F$31=0,"",'Teacher Summary Sheet'!$F$31)))</f>
        <v/>
      </c>
      <c r="O396" s="440"/>
      <c r="P396" s="413"/>
      <c r="Q396" s="63"/>
      <c r="R396" s="548"/>
      <c r="S396" s="549"/>
      <c r="T396" s="550"/>
    </row>
    <row r="397" spans="1:20" ht="14.25" x14ac:dyDescent="0.2">
      <c r="A397" s="83"/>
      <c r="B397" s="410" t="s">
        <v>241</v>
      </c>
      <c r="C397" s="420"/>
      <c r="D397" s="411"/>
      <c r="E397" s="421" t="str">
        <f>IF(NOT($N418=12),"",IF(ISERROR(LOOKUP(12,'Teacher Summary Sheet'!$M$19:$M$181)),"",IF(VLOOKUP(12,'Teacher Summary Sheet'!$M$19:$R$181,3)=0,"",VLOOKUP(12,'Teacher Summary Sheet'!$M$19:$R$181,3))))</f>
        <v/>
      </c>
      <c r="F397" s="422"/>
      <c r="G397" s="422"/>
      <c r="H397" s="422"/>
      <c r="I397" s="423"/>
      <c r="J397" s="414" t="s">
        <v>124</v>
      </c>
      <c r="K397" s="415"/>
      <c r="L397" s="424" t="str">
        <f>IF(NOT($N418=12),"",IF(ISERROR(LOOKUP(12,'Teacher Summary Sheet'!$M$19:$M$181)),"",IF(VLOOKUP(12,'Teacher Summary Sheet'!$M$19:$R$181,4)=0,"",VLOOKUP(12,'Teacher Summary Sheet'!$M$19:$R$181,4))))</f>
        <v/>
      </c>
      <c r="M397" s="425"/>
      <c r="N397" s="425"/>
      <c r="O397" s="425"/>
      <c r="P397" s="426"/>
      <c r="Q397" s="63"/>
      <c r="R397" s="125" t="str">
        <f>IF(NOT(N418=12),"",IF(COUNTIF(R399:R405,"P")=7,"P","O"))</f>
        <v/>
      </c>
      <c r="S397" s="110" t="str">
        <f>IF(NOT(N418=12),"",IF(COUNTIF(R399:R405,"P")=7,"Complete","Incomplete"))</f>
        <v/>
      </c>
      <c r="T397" s="111"/>
    </row>
    <row r="398" spans="1:20" x14ac:dyDescent="0.2">
      <c r="A398" s="83"/>
      <c r="B398" s="410" t="s">
        <v>120</v>
      </c>
      <c r="C398" s="420"/>
      <c r="D398" s="411"/>
      <c r="E398" s="427"/>
      <c r="F398" s="428"/>
      <c r="G398" s="428"/>
      <c r="H398" s="428"/>
      <c r="I398" s="428"/>
      <c r="J398" s="429"/>
      <c r="K398" s="62" t="s">
        <v>121</v>
      </c>
      <c r="L398" s="427"/>
      <c r="M398" s="428"/>
      <c r="N398" s="428"/>
      <c r="O398" s="428"/>
      <c r="P398" s="429"/>
      <c r="Q398" s="63"/>
    </row>
    <row r="399" spans="1:20" ht="14.25" x14ac:dyDescent="0.2">
      <c r="A399" s="83"/>
      <c r="B399" s="410" t="s">
        <v>196</v>
      </c>
      <c r="C399" s="420"/>
      <c r="D399" s="411"/>
      <c r="E399" s="427"/>
      <c r="F399" s="428"/>
      <c r="G399" s="428"/>
      <c r="H399" s="428"/>
      <c r="I399" s="429"/>
      <c r="J399" s="73" t="s">
        <v>197</v>
      </c>
      <c r="K399" s="405"/>
      <c r="L399" s="406"/>
      <c r="M399" s="414" t="s">
        <v>212</v>
      </c>
      <c r="N399" s="415"/>
      <c r="O399" s="405"/>
      <c r="P399" s="406"/>
      <c r="Q399" s="63"/>
      <c r="R399" s="124" t="str">
        <f>IF(NOT(N418=12),"",IF(OR(COUNTBLANK(E397:E397)=1,COUNTBLANK(L397:L397)=1),"O","P"))</f>
        <v/>
      </c>
      <c r="S399" s="108" t="str">
        <f>IF(NOT(N418=12),"","Candidate Name")</f>
        <v/>
      </c>
      <c r="T399" s="64"/>
    </row>
    <row r="400" spans="1:20" ht="14.25" x14ac:dyDescent="0.2">
      <c r="A400" s="83"/>
      <c r="B400" s="410" t="s">
        <v>198</v>
      </c>
      <c r="C400" s="420"/>
      <c r="D400" s="411"/>
      <c r="E400" s="454"/>
      <c r="F400" s="455"/>
      <c r="G400" s="455"/>
      <c r="H400" s="456"/>
      <c r="I400" s="74" t="s">
        <v>199</v>
      </c>
      <c r="J400" s="427"/>
      <c r="K400" s="428"/>
      <c r="L400" s="428"/>
      <c r="M400" s="428"/>
      <c r="N400" s="428"/>
      <c r="O400" s="428"/>
      <c r="P400" s="429"/>
      <c r="Q400" s="63"/>
      <c r="R400" s="124" t="str">
        <f>IF(NOT(N418=12),"",IF(COUNTBLANK(E396:E396)=1,"O","P"))</f>
        <v/>
      </c>
      <c r="S400" s="108" t="str">
        <f>IF(NOT(N418=12),"","Candidate ID")</f>
        <v/>
      </c>
      <c r="T400" s="64"/>
    </row>
    <row r="401" spans="1:20" ht="14.25" x14ac:dyDescent="0.2">
      <c r="A401" s="83"/>
      <c r="B401" s="410" t="s">
        <v>227</v>
      </c>
      <c r="C401" s="420"/>
      <c r="D401" s="411"/>
      <c r="E401" s="75" t="s">
        <v>218</v>
      </c>
      <c r="F401" s="405"/>
      <c r="G401" s="448"/>
      <c r="H401" s="75" t="s">
        <v>138</v>
      </c>
      <c r="I401" s="449"/>
      <c r="J401" s="450"/>
      <c r="K401" s="76" t="s">
        <v>139</v>
      </c>
      <c r="L401" s="451"/>
      <c r="M401" s="452"/>
      <c r="N401" s="76" t="s">
        <v>228</v>
      </c>
      <c r="O401" s="453" t="str">
        <f ca="1">IF(OR(ISBLANK(L401),ISBLANK(I401),ISBLANK(F401),COUNTBLANK(J396:J396)=1),"",IF(DATEDIF(DATE(L401,VLOOKUP(I401,data!$T$2:$U$13,2,FALSE),F401),IF(AND(TODAY()&lt;data!$AJ$12,TODAY()&gt;data!$AI$12),data!$AI$3,data!$AJ$3),"Y")&gt;=data!$AC$14,YEAR(TODAY())-L401,data!$AD$3))</f>
        <v/>
      </c>
      <c r="P401" s="413"/>
      <c r="Q401" s="63"/>
      <c r="R401" s="124" t="str">
        <f>IF(NOT(N418=12),"",IF(OR(ISBLANK(E398),ISBLANK(L398),ISBLANK(K399),ISBLANK(O399)),"O","P"))</f>
        <v/>
      </c>
      <c r="S401" s="108" t="str">
        <f>IF(NOT(N418=12),"","Address")</f>
        <v/>
      </c>
      <c r="T401" s="64"/>
    </row>
    <row r="402" spans="1:20" ht="15" thickBot="1" x14ac:dyDescent="0.25">
      <c r="A402" s="83"/>
      <c r="B402" s="410" t="s">
        <v>214</v>
      </c>
      <c r="C402" s="411"/>
      <c r="D402" s="412" t="str">
        <f>IF(NOT($N418=12),"",IF(ISERROR(LOOKUP(12,'Teacher Summary Sheet'!$M$19:$M$181)),"",IF(VLOOKUP(12,'Teacher Summary Sheet'!$M$19:$R$181,5)=0,"",VLOOKUP(12,'Teacher Summary Sheet'!$M$19:$R$181,5))))</f>
        <v/>
      </c>
      <c r="E402" s="413"/>
      <c r="F402" s="414" t="s">
        <v>319</v>
      </c>
      <c r="G402" s="415"/>
      <c r="H402" s="416"/>
      <c r="I402" s="417"/>
      <c r="J402" s="418"/>
      <c r="K402" s="414" t="s">
        <v>320</v>
      </c>
      <c r="L402" s="419"/>
      <c r="M402" s="419"/>
      <c r="N402" s="415"/>
      <c r="O402" s="405" t="s">
        <v>268</v>
      </c>
      <c r="P402" s="406"/>
      <c r="Q402" s="63"/>
      <c r="R402" s="124" t="str">
        <f>IF(NOT(N418=12),"",IF(OR(ISBLANK(F401),ISBLANK(I401),ISBLANK(L401)),"O","P"))</f>
        <v/>
      </c>
      <c r="S402" s="108" t="str">
        <f>IF(NOT(N418=12),"","Date of Birth")</f>
        <v/>
      </c>
      <c r="T402" s="64"/>
    </row>
    <row r="403" spans="1:20" ht="14.25" x14ac:dyDescent="0.2">
      <c r="A403" s="83"/>
      <c r="B403" s="522" t="s">
        <v>297</v>
      </c>
      <c r="C403" s="463"/>
      <c r="D403" s="463"/>
      <c r="E403" s="463"/>
      <c r="F403" s="463"/>
      <c r="G403" s="463"/>
      <c r="H403" s="463"/>
      <c r="I403" s="463"/>
      <c r="J403" s="463"/>
      <c r="K403" s="463"/>
      <c r="L403" s="463"/>
      <c r="M403" s="463"/>
      <c r="N403" s="463"/>
      <c r="O403" s="463"/>
      <c r="P403" s="464"/>
      <c r="Q403" s="63"/>
      <c r="R403" s="124" t="str">
        <f>IF(NOT(N418=12),"",IF(COUNTBLANK(J396:J396)=1,"O","P"))</f>
        <v/>
      </c>
      <c r="S403" s="112" t="str">
        <f>IF(NOT(N418=12),"","Exam Level")</f>
        <v/>
      </c>
      <c r="T403" s="64"/>
    </row>
    <row r="404" spans="1:20" ht="14.25" x14ac:dyDescent="0.2">
      <c r="A404" s="83"/>
      <c r="B404" s="465"/>
      <c r="C404" s="466"/>
      <c r="D404" s="466"/>
      <c r="E404" s="466"/>
      <c r="F404" s="466"/>
      <c r="G404" s="466"/>
      <c r="H404" s="466"/>
      <c r="I404" s="466"/>
      <c r="J404" s="466"/>
      <c r="K404" s="466"/>
      <c r="L404" s="466"/>
      <c r="M404" s="466"/>
      <c r="N404" s="466"/>
      <c r="O404" s="466"/>
      <c r="P404" s="467"/>
      <c r="Q404" s="63"/>
      <c r="R404" s="124" t="str">
        <f>IF(NOT(N418=12),"",IF(COUNTBLANK(D402:D402)=1,"O","P"))</f>
        <v/>
      </c>
      <c r="S404" s="109" t="str">
        <f>IF(NOT(N418=12),"","Gender")</f>
        <v/>
      </c>
      <c r="T404" s="64"/>
    </row>
    <row r="405" spans="1:20" ht="14.25" x14ac:dyDescent="0.2">
      <c r="A405" s="83"/>
      <c r="B405" s="432" t="s">
        <v>298</v>
      </c>
      <c r="C405" s="433"/>
      <c r="D405" s="434"/>
      <c r="E405" s="405"/>
      <c r="F405" s="406"/>
      <c r="G405" s="432" t="s">
        <v>299</v>
      </c>
      <c r="H405" s="433"/>
      <c r="I405" s="434"/>
      <c r="J405" s="405"/>
      <c r="K405" s="448"/>
      <c r="L405" s="406"/>
      <c r="M405" s="414" t="s">
        <v>300</v>
      </c>
      <c r="N405" s="415"/>
      <c r="O405" s="457"/>
      <c r="P405" s="458"/>
      <c r="Q405" s="63"/>
      <c r="R405" s="124" t="str">
        <f>IF(NOT(N418=12),"",IF(ISBLANK(H402),"O","P"))</f>
        <v/>
      </c>
      <c r="S405" s="109" t="str">
        <f>IF(NOT(N418=12),"","Height")</f>
        <v/>
      </c>
      <c r="T405" s="64"/>
    </row>
    <row r="406" spans="1:20" x14ac:dyDescent="0.2">
      <c r="A406" s="83"/>
      <c r="B406" s="77" t="s">
        <v>153</v>
      </c>
      <c r="C406" s="405"/>
      <c r="D406" s="406"/>
      <c r="E406" s="414" t="s">
        <v>301</v>
      </c>
      <c r="F406" s="415"/>
      <c r="G406" s="459"/>
      <c r="H406" s="460"/>
      <c r="I406" s="461"/>
      <c r="J406" s="414" t="s">
        <v>302</v>
      </c>
      <c r="K406" s="415"/>
      <c r="L406" s="454"/>
      <c r="M406" s="455"/>
      <c r="N406" s="455"/>
      <c r="O406" s="455"/>
      <c r="P406" s="456"/>
      <c r="Q406" s="63"/>
      <c r="R406" s="64"/>
      <c r="S406" s="64"/>
      <c r="T406" s="64"/>
    </row>
    <row r="407" spans="1:20" x14ac:dyDescent="0.2">
      <c r="A407" s="83"/>
      <c r="B407" s="410" t="s">
        <v>116</v>
      </c>
      <c r="C407" s="420"/>
      <c r="D407" s="420"/>
      <c r="E407" s="420"/>
      <c r="F407" s="420"/>
      <c r="G407" s="420"/>
      <c r="H407" s="420"/>
      <c r="I407" s="420"/>
      <c r="J407" s="420"/>
      <c r="K407" s="420"/>
      <c r="L407" s="420"/>
      <c r="M407" s="420"/>
      <c r="N407" s="420"/>
      <c r="O407" s="420"/>
      <c r="P407" s="411"/>
      <c r="Q407" s="63"/>
      <c r="R407" s="64"/>
      <c r="S407" s="64"/>
      <c r="T407" s="64"/>
    </row>
    <row r="408" spans="1:20" x14ac:dyDescent="0.2">
      <c r="A408" s="83"/>
      <c r="B408" s="410" t="s">
        <v>298</v>
      </c>
      <c r="C408" s="420"/>
      <c r="D408" s="411"/>
      <c r="E408" s="405"/>
      <c r="F408" s="406"/>
      <c r="G408" s="410" t="s">
        <v>299</v>
      </c>
      <c r="H408" s="420"/>
      <c r="I408" s="411"/>
      <c r="J408" s="454"/>
      <c r="K408" s="455"/>
      <c r="L408" s="456"/>
      <c r="M408" s="414" t="s">
        <v>300</v>
      </c>
      <c r="N408" s="415"/>
      <c r="O408" s="457"/>
      <c r="P408" s="458"/>
      <c r="Q408" s="63"/>
      <c r="R408" s="64"/>
    </row>
    <row r="409" spans="1:20" ht="13.5" thickBot="1" x14ac:dyDescent="0.25">
      <c r="A409" s="83"/>
      <c r="B409" s="78" t="s">
        <v>153</v>
      </c>
      <c r="C409" s="492"/>
      <c r="D409" s="493"/>
      <c r="E409" s="494" t="s">
        <v>301</v>
      </c>
      <c r="F409" s="495"/>
      <c r="G409" s="496"/>
      <c r="H409" s="497"/>
      <c r="I409" s="498"/>
      <c r="J409" s="414" t="s">
        <v>302</v>
      </c>
      <c r="K409" s="415"/>
      <c r="L409" s="454"/>
      <c r="M409" s="455"/>
      <c r="N409" s="455"/>
      <c r="O409" s="455"/>
      <c r="P409" s="456"/>
      <c r="Q409" s="63"/>
      <c r="R409" s="64"/>
    </row>
    <row r="410" spans="1:20" x14ac:dyDescent="0.2">
      <c r="A410" s="83"/>
      <c r="B410" s="499" t="s">
        <v>126</v>
      </c>
      <c r="C410" s="500"/>
      <c r="D410" s="500"/>
      <c r="E410" s="500"/>
      <c r="F410" s="500"/>
      <c r="G410" s="500"/>
      <c r="H410" s="500"/>
      <c r="I410" s="501"/>
      <c r="J410" s="505"/>
      <c r="K410" s="506"/>
      <c r="L410" s="506"/>
      <c r="M410" s="506"/>
      <c r="N410" s="506"/>
      <c r="O410" s="506"/>
      <c r="P410" s="507"/>
      <c r="Q410" s="63"/>
      <c r="R410" s="64"/>
    </row>
    <row r="411" spans="1:20" x14ac:dyDescent="0.2">
      <c r="A411" s="83"/>
      <c r="B411" s="502"/>
      <c r="C411" s="503"/>
      <c r="D411" s="503"/>
      <c r="E411" s="503"/>
      <c r="F411" s="503"/>
      <c r="G411" s="503"/>
      <c r="H411" s="503"/>
      <c r="I411" s="504"/>
      <c r="J411" s="508"/>
      <c r="K411" s="509"/>
      <c r="L411" s="509"/>
      <c r="M411" s="509"/>
      <c r="N411" s="509"/>
      <c r="O411" s="509"/>
      <c r="P411" s="510"/>
      <c r="Q411" s="63"/>
      <c r="R411" s="64"/>
    </row>
    <row r="412" spans="1:20" x14ac:dyDescent="0.2">
      <c r="A412" s="83"/>
      <c r="B412" s="514" t="s">
        <v>127</v>
      </c>
      <c r="C412" s="515"/>
      <c r="D412" s="515"/>
      <c r="E412" s="515"/>
      <c r="F412" s="515"/>
      <c r="G412" s="515"/>
      <c r="H412" s="515"/>
      <c r="I412" s="516"/>
      <c r="J412" s="508"/>
      <c r="K412" s="509"/>
      <c r="L412" s="509"/>
      <c r="M412" s="509"/>
      <c r="N412" s="509"/>
      <c r="O412" s="509"/>
      <c r="P412" s="510"/>
      <c r="Q412" s="63"/>
      <c r="R412" s="64"/>
    </row>
    <row r="413" spans="1:20" ht="13.5" thickBot="1" x14ac:dyDescent="0.25">
      <c r="A413" s="83"/>
      <c r="B413" s="517"/>
      <c r="C413" s="518"/>
      <c r="D413" s="518"/>
      <c r="E413" s="518"/>
      <c r="F413" s="518"/>
      <c r="G413" s="518"/>
      <c r="H413" s="518"/>
      <c r="I413" s="519"/>
      <c r="J413" s="511"/>
      <c r="K413" s="512"/>
      <c r="L413" s="512"/>
      <c r="M413" s="512"/>
      <c r="N413" s="512"/>
      <c r="O413" s="512"/>
      <c r="P413" s="513"/>
      <c r="Q413" s="63"/>
      <c r="R413" s="64"/>
    </row>
    <row r="414" spans="1:20" x14ac:dyDescent="0.2">
      <c r="A414" s="83"/>
      <c r="B414" s="480" t="s">
        <v>10</v>
      </c>
      <c r="C414" s="481"/>
      <c r="D414" s="481"/>
      <c r="E414" s="481"/>
      <c r="F414" s="481"/>
      <c r="G414" s="481"/>
      <c r="H414" s="481"/>
      <c r="I414" s="482"/>
      <c r="J414" s="79">
        <v>1</v>
      </c>
      <c r="K414" s="483"/>
      <c r="L414" s="484"/>
      <c r="M414" s="484"/>
      <c r="N414" s="484"/>
      <c r="O414" s="484"/>
      <c r="P414" s="485"/>
      <c r="Q414" s="63"/>
      <c r="R414" s="64"/>
    </row>
    <row r="415" spans="1:20" x14ac:dyDescent="0.2">
      <c r="A415" s="83"/>
      <c r="B415" s="486" t="s">
        <v>276</v>
      </c>
      <c r="C415" s="487"/>
      <c r="D415" s="487"/>
      <c r="E415" s="487"/>
      <c r="F415" s="487"/>
      <c r="G415" s="487"/>
      <c r="H415" s="487"/>
      <c r="I415" s="488"/>
      <c r="J415" s="80">
        <v>2</v>
      </c>
      <c r="K415" s="454"/>
      <c r="L415" s="455"/>
      <c r="M415" s="455"/>
      <c r="N415" s="455"/>
      <c r="O415" s="455"/>
      <c r="P415" s="456"/>
      <c r="Q415" s="63"/>
      <c r="R415" s="64"/>
    </row>
    <row r="416" spans="1:20" x14ac:dyDescent="0.2">
      <c r="A416" s="83"/>
      <c r="B416" s="489" t="s">
        <v>234</v>
      </c>
      <c r="C416" s="490"/>
      <c r="D416" s="490"/>
      <c r="E416" s="490"/>
      <c r="F416" s="490"/>
      <c r="G416" s="490"/>
      <c r="H416" s="490"/>
      <c r="I416" s="491"/>
      <c r="J416" s="80">
        <v>3</v>
      </c>
      <c r="K416" s="454"/>
      <c r="L416" s="455"/>
      <c r="M416" s="455"/>
      <c r="N416" s="455"/>
      <c r="O416" s="455"/>
      <c r="P416" s="456"/>
      <c r="Q416" s="63"/>
      <c r="R416" s="64"/>
    </row>
    <row r="417" spans="1:20" x14ac:dyDescent="0.2">
      <c r="A417" s="83"/>
      <c r="B417" s="468"/>
      <c r="C417" s="468"/>
      <c r="D417" s="468"/>
      <c r="E417" s="468"/>
      <c r="F417" s="468"/>
      <c r="G417" s="468"/>
      <c r="H417" s="468"/>
      <c r="I417" s="468"/>
      <c r="J417" s="468"/>
      <c r="K417" s="468"/>
      <c r="L417" s="468"/>
      <c r="M417" s="468"/>
      <c r="N417" s="468"/>
      <c r="O417" s="468"/>
      <c r="P417" s="468"/>
      <c r="Q417" s="63"/>
      <c r="R417" s="64"/>
    </row>
    <row r="418" spans="1:20" ht="12" customHeight="1" x14ac:dyDescent="0.2">
      <c r="A418" s="83"/>
      <c r="B418" s="469" t="s">
        <v>84</v>
      </c>
      <c r="C418" s="471" t="str">
        <f>IF(CODE(B418)=89,"This candidate would like to receive Special","This candidate would not like to receive Special")</f>
        <v>This candidate would like to receive Special</v>
      </c>
      <c r="D418" s="472"/>
      <c r="E418" s="472"/>
      <c r="F418" s="472"/>
      <c r="G418" s="472"/>
      <c r="H418" s="472"/>
      <c r="I418" s="473"/>
      <c r="J418" s="81"/>
      <c r="K418" s="474" t="s">
        <v>205</v>
      </c>
      <c r="L418" s="474"/>
      <c r="M418" s="475"/>
      <c r="N418" s="51" t="str">
        <f>IF($P$33&gt;=12,12,"")</f>
        <v/>
      </c>
      <c r="O418" s="62" t="s">
        <v>52</v>
      </c>
      <c r="P418" s="51" t="str">
        <f>IF($P$33&gt;=12,$P$33,"")</f>
        <v/>
      </c>
      <c r="Q418" s="63"/>
      <c r="R418" s="64"/>
    </row>
    <row r="419" spans="1:20" ht="12" customHeight="1" x14ac:dyDescent="0.2">
      <c r="A419" s="83"/>
      <c r="B419" s="470"/>
      <c r="C419" s="476" t="str">
        <f>IF(CODE(B418)=89,"Announcements and Bulletins from RAD Canada","Announcements and Bulletins from RAD Canada")</f>
        <v>Announcements and Bulletins from RAD Canada</v>
      </c>
      <c r="D419" s="477"/>
      <c r="E419" s="477"/>
      <c r="F419" s="477"/>
      <c r="G419" s="477"/>
      <c r="H419" s="477"/>
      <c r="I419" s="478"/>
      <c r="J419" s="479"/>
      <c r="K419" s="400"/>
      <c r="L419" s="400"/>
      <c r="M419" s="400"/>
      <c r="N419" s="400"/>
      <c r="O419" s="400"/>
      <c r="P419" s="400"/>
      <c r="Q419" s="63"/>
      <c r="R419" s="64"/>
    </row>
    <row r="420" spans="1:20" x14ac:dyDescent="0.2">
      <c r="A420" s="83"/>
      <c r="B420" s="400"/>
      <c r="C420" s="400"/>
      <c r="D420" s="400"/>
      <c r="E420" s="400"/>
      <c r="F420" s="400"/>
      <c r="G420" s="400"/>
      <c r="H420" s="400"/>
      <c r="I420" s="400"/>
      <c r="J420" s="400"/>
      <c r="K420" s="400"/>
      <c r="L420" s="400"/>
      <c r="M420" s="400"/>
      <c r="N420" s="400"/>
      <c r="O420" s="400"/>
      <c r="P420" s="400"/>
      <c r="Q420" s="63"/>
      <c r="R420" s="64"/>
    </row>
    <row r="421" spans="1:20" x14ac:dyDescent="0.2">
      <c r="A421" s="83"/>
      <c r="B421" s="62"/>
      <c r="C421" s="62"/>
      <c r="D421" s="62"/>
      <c r="E421" s="62"/>
      <c r="F421" s="62"/>
      <c r="G421" s="62"/>
      <c r="H421" s="62"/>
      <c r="I421" s="62"/>
      <c r="J421" s="62"/>
      <c r="K421" s="62"/>
      <c r="L421" s="62"/>
      <c r="M421" s="62"/>
      <c r="N421" s="62"/>
      <c r="O421" s="62"/>
      <c r="P421" s="62"/>
      <c r="Q421" s="63"/>
      <c r="R421" s="64"/>
    </row>
    <row r="422" spans="1:20" x14ac:dyDescent="0.2">
      <c r="A422" s="83"/>
      <c r="B422" s="401" t="s">
        <v>233</v>
      </c>
      <c r="C422" s="402"/>
      <c r="D422" s="402"/>
      <c r="E422" s="402"/>
      <c r="F422" s="402"/>
      <c r="G422" s="402"/>
      <c r="H422" s="62"/>
      <c r="I422" s="62"/>
      <c r="J422" s="62"/>
      <c r="K422" s="62"/>
      <c r="L422" s="62"/>
      <c r="M422" s="62"/>
      <c r="N422" s="62"/>
      <c r="O422" s="62"/>
      <c r="P422" s="62"/>
      <c r="Q422" s="63"/>
      <c r="R422" s="64"/>
    </row>
    <row r="423" spans="1:20" ht="15.75" x14ac:dyDescent="0.25">
      <c r="A423" s="83"/>
      <c r="B423" s="402"/>
      <c r="C423" s="402"/>
      <c r="D423" s="402"/>
      <c r="E423" s="402"/>
      <c r="F423" s="402"/>
      <c r="G423" s="402"/>
      <c r="H423" s="82"/>
      <c r="I423" s="403"/>
      <c r="J423" s="403"/>
      <c r="K423" s="403"/>
      <c r="L423" s="403"/>
      <c r="M423" s="403"/>
      <c r="N423" s="403"/>
      <c r="O423" s="403"/>
      <c r="P423" s="403"/>
      <c r="Q423" s="63"/>
      <c r="R423" s="64"/>
    </row>
    <row r="424" spans="1:20" x14ac:dyDescent="0.2">
      <c r="A424" s="83"/>
      <c r="B424" s="400"/>
      <c r="C424" s="400"/>
      <c r="D424" s="400"/>
      <c r="E424" s="400"/>
      <c r="F424" s="400"/>
      <c r="G424" s="400"/>
      <c r="H424" s="400"/>
      <c r="I424" s="400"/>
      <c r="J424" s="400"/>
      <c r="K424" s="400"/>
      <c r="L424" s="400"/>
      <c r="M424" s="403"/>
      <c r="N424" s="403"/>
      <c r="O424" s="403"/>
      <c r="P424" s="403"/>
      <c r="Q424" s="63"/>
      <c r="R424" s="64"/>
    </row>
    <row r="425" spans="1:20" x14ac:dyDescent="0.2">
      <c r="A425" s="83"/>
      <c r="B425" s="404" t="s">
        <v>260</v>
      </c>
      <c r="C425" s="404"/>
      <c r="D425" s="404"/>
      <c r="E425" s="404"/>
      <c r="F425" s="400"/>
      <c r="G425" s="400"/>
      <c r="H425" s="400"/>
      <c r="I425" s="400"/>
      <c r="J425" s="400"/>
      <c r="K425" s="400"/>
      <c r="L425" s="400"/>
      <c r="M425" s="403"/>
      <c r="N425" s="403"/>
      <c r="O425" s="403"/>
      <c r="P425" s="403"/>
      <c r="Q425" s="63"/>
      <c r="R425" s="64"/>
    </row>
    <row r="426" spans="1:20" x14ac:dyDescent="0.2">
      <c r="A426" s="83"/>
      <c r="B426" s="69"/>
      <c r="C426" s="324" t="s">
        <v>75</v>
      </c>
      <c r="D426" s="408"/>
      <c r="E426" s="409"/>
      <c r="F426" s="400"/>
      <c r="G426" s="400"/>
      <c r="H426" s="400"/>
      <c r="I426" s="400"/>
      <c r="J426" s="400"/>
      <c r="K426" s="400"/>
      <c r="L426" s="400"/>
      <c r="M426" s="70"/>
      <c r="N426" s="70"/>
      <c r="O426" s="70"/>
      <c r="P426" s="70"/>
      <c r="Q426" s="63"/>
      <c r="R426" s="64"/>
    </row>
    <row r="427" spans="1:20" x14ac:dyDescent="0.2">
      <c r="A427" s="83"/>
      <c r="B427" s="71"/>
      <c r="C427" s="324" t="s">
        <v>128</v>
      </c>
      <c r="D427" s="408"/>
      <c r="E427" s="409"/>
      <c r="F427" s="400"/>
      <c r="G427" s="400"/>
      <c r="H427" s="400"/>
      <c r="I427" s="400"/>
      <c r="J427" s="400"/>
      <c r="K427" s="400"/>
      <c r="L427" s="400"/>
      <c r="M427" s="407" t="s">
        <v>256</v>
      </c>
      <c r="N427" s="407"/>
      <c r="O427" s="407"/>
      <c r="P427" s="407"/>
      <c r="Q427" s="63"/>
      <c r="R427" s="64"/>
    </row>
    <row r="428" spans="1:20" x14ac:dyDescent="0.2">
      <c r="A428" s="83"/>
      <c r="B428" s="56"/>
      <c r="C428" s="324" t="s">
        <v>275</v>
      </c>
      <c r="D428" s="408"/>
      <c r="E428" s="409"/>
      <c r="F428" s="400"/>
      <c r="G428" s="400"/>
      <c r="H428" s="400"/>
      <c r="I428" s="400"/>
      <c r="J428" s="400"/>
      <c r="K428" s="400"/>
      <c r="L428" s="400"/>
      <c r="M428" s="407"/>
      <c r="N428" s="407"/>
      <c r="O428" s="407"/>
      <c r="P428" s="407"/>
      <c r="Q428" s="63"/>
      <c r="R428" s="64"/>
    </row>
    <row r="429" spans="1:20" x14ac:dyDescent="0.2">
      <c r="A429" s="83"/>
      <c r="B429" s="520"/>
      <c r="C429" s="520"/>
      <c r="D429" s="520"/>
      <c r="E429" s="520"/>
      <c r="F429" s="520"/>
      <c r="G429" s="520"/>
      <c r="H429" s="520"/>
      <c r="I429" s="520"/>
      <c r="J429" s="520"/>
      <c r="K429" s="520"/>
      <c r="L429" s="520"/>
      <c r="M429" s="520"/>
      <c r="N429" s="520"/>
      <c r="O429" s="520"/>
      <c r="P429" s="520"/>
      <c r="Q429" s="63"/>
      <c r="R429" s="64"/>
    </row>
    <row r="430" spans="1:20" x14ac:dyDescent="0.2">
      <c r="A430" s="83"/>
      <c r="B430" s="432" t="s">
        <v>117</v>
      </c>
      <c r="C430" s="433"/>
      <c r="D430" s="434"/>
      <c r="E430" s="442" t="str">
        <f>IF(AND($P$33&gt;=13,NOT(ISBLANK($E$10))),$E$10,"")</f>
        <v/>
      </c>
      <c r="F430" s="443"/>
      <c r="G430" s="444"/>
      <c r="H430" s="414" t="s">
        <v>124</v>
      </c>
      <c r="I430" s="415"/>
      <c r="J430" s="442" t="str">
        <f>IF(AND($P$33&gt;=13,NOT(ISBLANK($J$10))),$J$10,"")</f>
        <v/>
      </c>
      <c r="K430" s="443"/>
      <c r="L430" s="444"/>
      <c r="M430" s="414" t="s">
        <v>118</v>
      </c>
      <c r="N430" s="415"/>
      <c r="O430" s="430" t="str">
        <f>IF(AND($P$33&gt;=13,NOT(ISBLANK($O$10))),$O$10,"")</f>
        <v/>
      </c>
      <c r="P430" s="521"/>
      <c r="Q430" s="63"/>
      <c r="R430" s="545" t="s">
        <v>307</v>
      </c>
      <c r="S430" s="546"/>
      <c r="T430" s="547"/>
    </row>
    <row r="431" spans="1:20" x14ac:dyDescent="0.2">
      <c r="A431" s="83"/>
      <c r="B431" s="432" t="s">
        <v>240</v>
      </c>
      <c r="C431" s="433"/>
      <c r="D431" s="434"/>
      <c r="E431" s="435" t="str">
        <f>IF(NOT($N453=13),"",IF(ISERROR(LOOKUP(13,'Teacher Summary Sheet'!$M$19:$M$181)),"",IF(VLOOKUP(13,'Teacher Summary Sheet'!$M$19:$R$181,2)=0,"",VLOOKUP(13,'Teacher Summary Sheet'!$M$19:$R$181,2))))</f>
        <v/>
      </c>
      <c r="F431" s="436"/>
      <c r="G431" s="437"/>
      <c r="H431" s="438" t="s">
        <v>119</v>
      </c>
      <c r="I431" s="439"/>
      <c r="J431" s="102" t="str">
        <f>IF(NOT($N453=13),"",IF(ISERROR(LOOKUP(13,'Teacher Summary Sheet'!$M$19:$M$181)),"",IF(VLOOKUP(13,'Teacher Summary Sheet'!$M$19:$R$181,6)=0,"",VLOOKUP(13,'Teacher Summary Sheet'!$M$19:$R$181,6))))</f>
        <v/>
      </c>
      <c r="K431" s="414" t="s">
        <v>179</v>
      </c>
      <c r="L431" s="419"/>
      <c r="M431" s="415"/>
      <c r="N431" s="412" t="str">
        <f>IF(NOT($N453=13),"",IF(ISERROR(LOOKUP(13,'Teacher Summary Sheet'!$M$19:$M$181)),"",IF('Teacher Summary Sheet'!$F$31=0,"",'Teacher Summary Sheet'!$F$31)))</f>
        <v/>
      </c>
      <c r="O431" s="440"/>
      <c r="P431" s="413"/>
      <c r="Q431" s="63"/>
      <c r="R431" s="548"/>
      <c r="S431" s="549"/>
      <c r="T431" s="550"/>
    </row>
    <row r="432" spans="1:20" ht="14.25" x14ac:dyDescent="0.2">
      <c r="A432" s="83"/>
      <c r="B432" s="410" t="s">
        <v>241</v>
      </c>
      <c r="C432" s="420"/>
      <c r="D432" s="411"/>
      <c r="E432" s="421" t="str">
        <f>IF(NOT($N453=13),"",IF(ISERROR(LOOKUP(13,'Teacher Summary Sheet'!$M$19:$M$181)),"",IF(VLOOKUP(13,'Teacher Summary Sheet'!$M$19:$R$181,3)=0,"",VLOOKUP(13,'Teacher Summary Sheet'!$M$19:$R$181,3))))</f>
        <v/>
      </c>
      <c r="F432" s="422"/>
      <c r="G432" s="422"/>
      <c r="H432" s="422"/>
      <c r="I432" s="423"/>
      <c r="J432" s="414" t="s">
        <v>124</v>
      </c>
      <c r="K432" s="415"/>
      <c r="L432" s="424" t="str">
        <f>IF(NOT($N453=13),"",IF(ISERROR(LOOKUP(13,'Teacher Summary Sheet'!$M$19:$M$181)),"",IF(VLOOKUP(13,'Teacher Summary Sheet'!$M$19:$R$181,4)=0,"",VLOOKUP(13,'Teacher Summary Sheet'!$M$19:$R$181,4))))</f>
        <v/>
      </c>
      <c r="M432" s="425"/>
      <c r="N432" s="425"/>
      <c r="O432" s="425"/>
      <c r="P432" s="426"/>
      <c r="Q432" s="63"/>
      <c r="R432" s="125" t="str">
        <f>IF(NOT(N453=13),"",IF(COUNTIF(R434:R440,"P")=7,"P","O"))</f>
        <v/>
      </c>
      <c r="S432" s="110" t="str">
        <f>IF(NOT(N453=13),"",IF(COUNTIF(R434:R440,"P")=7,"Complete","Incomplete"))</f>
        <v/>
      </c>
      <c r="T432" s="111"/>
    </row>
    <row r="433" spans="1:20" x14ac:dyDescent="0.2">
      <c r="A433" s="83"/>
      <c r="B433" s="410" t="s">
        <v>120</v>
      </c>
      <c r="C433" s="420"/>
      <c r="D433" s="411"/>
      <c r="E433" s="427"/>
      <c r="F433" s="428"/>
      <c r="G433" s="428"/>
      <c r="H433" s="428"/>
      <c r="I433" s="428"/>
      <c r="J433" s="429"/>
      <c r="K433" s="62" t="s">
        <v>121</v>
      </c>
      <c r="L433" s="427"/>
      <c r="M433" s="428"/>
      <c r="N433" s="428"/>
      <c r="O433" s="428"/>
      <c r="P433" s="429"/>
      <c r="Q433" s="63"/>
    </row>
    <row r="434" spans="1:20" ht="14.25" x14ac:dyDescent="0.2">
      <c r="A434" s="83"/>
      <c r="B434" s="410" t="s">
        <v>196</v>
      </c>
      <c r="C434" s="420"/>
      <c r="D434" s="411"/>
      <c r="E434" s="427"/>
      <c r="F434" s="428"/>
      <c r="G434" s="428"/>
      <c r="H434" s="428"/>
      <c r="I434" s="429"/>
      <c r="J434" s="73" t="s">
        <v>197</v>
      </c>
      <c r="K434" s="405"/>
      <c r="L434" s="406"/>
      <c r="M434" s="414" t="s">
        <v>212</v>
      </c>
      <c r="N434" s="415"/>
      <c r="O434" s="405"/>
      <c r="P434" s="406"/>
      <c r="Q434" s="63"/>
      <c r="R434" s="124" t="str">
        <f>IF(NOT(N453=13),"",IF(OR(COUNTBLANK(E432:E432)=1,COUNTBLANK(L432:L432)=1),"O","P"))</f>
        <v/>
      </c>
      <c r="S434" s="108" t="str">
        <f>IF(NOT(N453=13),"","Candidate Name")</f>
        <v/>
      </c>
      <c r="T434" s="64"/>
    </row>
    <row r="435" spans="1:20" ht="14.25" x14ac:dyDescent="0.2">
      <c r="A435" s="83"/>
      <c r="B435" s="410" t="s">
        <v>198</v>
      </c>
      <c r="C435" s="420"/>
      <c r="D435" s="411"/>
      <c r="E435" s="454"/>
      <c r="F435" s="455"/>
      <c r="G435" s="455"/>
      <c r="H435" s="456"/>
      <c r="I435" s="74" t="s">
        <v>199</v>
      </c>
      <c r="J435" s="427"/>
      <c r="K435" s="428"/>
      <c r="L435" s="428"/>
      <c r="M435" s="428"/>
      <c r="N435" s="428"/>
      <c r="O435" s="428"/>
      <c r="P435" s="429"/>
      <c r="Q435" s="63"/>
      <c r="R435" s="124" t="str">
        <f>IF(NOT(N453=13),"",IF(COUNTBLANK(E431:E431)=1,"O","P"))</f>
        <v/>
      </c>
      <c r="S435" s="108" t="str">
        <f>IF(NOT(N453=13),"","Candidate ID")</f>
        <v/>
      </c>
      <c r="T435" s="64"/>
    </row>
    <row r="436" spans="1:20" ht="14.25" x14ac:dyDescent="0.2">
      <c r="A436" s="83"/>
      <c r="B436" s="410" t="s">
        <v>227</v>
      </c>
      <c r="C436" s="420"/>
      <c r="D436" s="411"/>
      <c r="E436" s="75" t="s">
        <v>218</v>
      </c>
      <c r="F436" s="405"/>
      <c r="G436" s="448"/>
      <c r="H436" s="75" t="s">
        <v>138</v>
      </c>
      <c r="I436" s="449"/>
      <c r="J436" s="450"/>
      <c r="K436" s="76" t="s">
        <v>139</v>
      </c>
      <c r="L436" s="451"/>
      <c r="M436" s="452"/>
      <c r="N436" s="76" t="s">
        <v>228</v>
      </c>
      <c r="O436" s="453" t="str">
        <f ca="1">IF(OR(ISBLANK(L436),ISBLANK(I436),ISBLANK(F436),COUNTBLANK(J431:J431)=1),"",IF(DATEDIF(DATE(L436,VLOOKUP(I436,data!$T$2:$U$13,2,FALSE),F436),IF(AND(TODAY()&lt;data!$AJ$12,TODAY()&gt;data!$AI$12),data!$AI$3,data!$AJ$3),"Y")&gt;=data!$AC$15,YEAR(TODAY())-L436,data!$AD$3))</f>
        <v/>
      </c>
      <c r="P436" s="413"/>
      <c r="Q436" s="63"/>
      <c r="R436" s="124" t="str">
        <f>IF(NOT(N453=13),"",IF(OR(ISBLANK(E433),ISBLANK(L433),ISBLANK(K434),ISBLANK(O434)),"O","P"))</f>
        <v/>
      </c>
      <c r="S436" s="108" t="str">
        <f>IF(NOT(N453=13),"","Address")</f>
        <v/>
      </c>
      <c r="T436" s="64"/>
    </row>
    <row r="437" spans="1:20" ht="15" thickBot="1" x14ac:dyDescent="0.25">
      <c r="A437" s="83"/>
      <c r="B437" s="410" t="s">
        <v>214</v>
      </c>
      <c r="C437" s="411"/>
      <c r="D437" s="412" t="str">
        <f>IF(NOT($N453=13),"",IF(ISERROR(LOOKUP(13,'Teacher Summary Sheet'!$M$19:$M$181)),"",IF(VLOOKUP(13,'Teacher Summary Sheet'!$M$19:$R$181,5)=0,"",VLOOKUP(13,'Teacher Summary Sheet'!$M$19:$R$181,5))))</f>
        <v/>
      </c>
      <c r="E437" s="413"/>
      <c r="F437" s="414" t="s">
        <v>319</v>
      </c>
      <c r="G437" s="415"/>
      <c r="H437" s="416"/>
      <c r="I437" s="417"/>
      <c r="J437" s="418"/>
      <c r="K437" s="414" t="s">
        <v>320</v>
      </c>
      <c r="L437" s="419"/>
      <c r="M437" s="419"/>
      <c r="N437" s="415"/>
      <c r="O437" s="405" t="s">
        <v>268</v>
      </c>
      <c r="P437" s="406"/>
      <c r="Q437" s="63"/>
      <c r="R437" s="124" t="str">
        <f>IF(NOT(N453=13),"",IF(OR(ISBLANK(F436),ISBLANK(I436),ISBLANK(L436)),"O","P"))</f>
        <v/>
      </c>
      <c r="S437" s="108" t="str">
        <f>IF(NOT(N453=13),"","Date of Birth")</f>
        <v/>
      </c>
      <c r="T437" s="64"/>
    </row>
    <row r="438" spans="1:20" ht="14.25" x14ac:dyDescent="0.2">
      <c r="A438" s="83"/>
      <c r="B438" s="522" t="s">
        <v>297</v>
      </c>
      <c r="C438" s="463"/>
      <c r="D438" s="463"/>
      <c r="E438" s="463"/>
      <c r="F438" s="463"/>
      <c r="G438" s="463"/>
      <c r="H438" s="463"/>
      <c r="I438" s="463"/>
      <c r="J438" s="463"/>
      <c r="K438" s="463"/>
      <c r="L438" s="463"/>
      <c r="M438" s="463"/>
      <c r="N438" s="463"/>
      <c r="O438" s="463"/>
      <c r="P438" s="464"/>
      <c r="Q438" s="63"/>
      <c r="R438" s="124" t="str">
        <f>IF(NOT(N453=13),"",IF(COUNTBLANK(J431:J431)=1,"O","P"))</f>
        <v/>
      </c>
      <c r="S438" s="112" t="str">
        <f>IF(NOT(N453=13),"","Exam Level")</f>
        <v/>
      </c>
      <c r="T438" s="64"/>
    </row>
    <row r="439" spans="1:20" ht="14.25" x14ac:dyDescent="0.2">
      <c r="A439" s="83"/>
      <c r="B439" s="465"/>
      <c r="C439" s="466"/>
      <c r="D439" s="466"/>
      <c r="E439" s="466"/>
      <c r="F439" s="466"/>
      <c r="G439" s="466"/>
      <c r="H439" s="466"/>
      <c r="I439" s="466"/>
      <c r="J439" s="466"/>
      <c r="K439" s="466"/>
      <c r="L439" s="466"/>
      <c r="M439" s="466"/>
      <c r="N439" s="466"/>
      <c r="O439" s="466"/>
      <c r="P439" s="467"/>
      <c r="Q439" s="63"/>
      <c r="R439" s="124" t="str">
        <f>IF(NOT(N453=13),"",IF(COUNTBLANK(D437:D437)=1,"O","P"))</f>
        <v/>
      </c>
      <c r="S439" s="109" t="str">
        <f>IF(NOT(N453=13),"","Gender")</f>
        <v/>
      </c>
      <c r="T439" s="64"/>
    </row>
    <row r="440" spans="1:20" ht="14.25" x14ac:dyDescent="0.2">
      <c r="A440" s="83"/>
      <c r="B440" s="432" t="s">
        <v>298</v>
      </c>
      <c r="C440" s="433"/>
      <c r="D440" s="434"/>
      <c r="E440" s="405"/>
      <c r="F440" s="406"/>
      <c r="G440" s="432" t="s">
        <v>299</v>
      </c>
      <c r="H440" s="433"/>
      <c r="I440" s="434"/>
      <c r="J440" s="405"/>
      <c r="K440" s="448"/>
      <c r="L440" s="406"/>
      <c r="M440" s="414" t="s">
        <v>300</v>
      </c>
      <c r="N440" s="415"/>
      <c r="O440" s="457"/>
      <c r="P440" s="458"/>
      <c r="Q440" s="63"/>
      <c r="R440" s="124" t="str">
        <f>IF(NOT(N453=13),"",IF(ISBLANK(H437),"O","P"))</f>
        <v/>
      </c>
      <c r="S440" s="109" t="str">
        <f>IF(NOT(N453=13),"","Height")</f>
        <v/>
      </c>
      <c r="T440" s="64"/>
    </row>
    <row r="441" spans="1:20" x14ac:dyDescent="0.2">
      <c r="A441" s="83"/>
      <c r="B441" s="77" t="s">
        <v>153</v>
      </c>
      <c r="C441" s="405"/>
      <c r="D441" s="406"/>
      <c r="E441" s="414" t="s">
        <v>301</v>
      </c>
      <c r="F441" s="415"/>
      <c r="G441" s="459"/>
      <c r="H441" s="460"/>
      <c r="I441" s="461"/>
      <c r="J441" s="414" t="s">
        <v>302</v>
      </c>
      <c r="K441" s="415"/>
      <c r="L441" s="454"/>
      <c r="M441" s="455"/>
      <c r="N441" s="455"/>
      <c r="O441" s="455"/>
      <c r="P441" s="456"/>
      <c r="Q441" s="63"/>
      <c r="R441" s="64"/>
      <c r="S441" s="64"/>
      <c r="T441" s="64"/>
    </row>
    <row r="442" spans="1:20" x14ac:dyDescent="0.2">
      <c r="A442" s="83"/>
      <c r="B442" s="410" t="s">
        <v>116</v>
      </c>
      <c r="C442" s="420"/>
      <c r="D442" s="420"/>
      <c r="E442" s="420"/>
      <c r="F442" s="420"/>
      <c r="G442" s="420"/>
      <c r="H442" s="420"/>
      <c r="I442" s="420"/>
      <c r="J442" s="420"/>
      <c r="K442" s="420"/>
      <c r="L442" s="420"/>
      <c r="M442" s="420"/>
      <c r="N442" s="420"/>
      <c r="O442" s="420"/>
      <c r="P442" s="411"/>
      <c r="Q442" s="63"/>
      <c r="R442" s="64"/>
      <c r="S442" s="64"/>
      <c r="T442" s="64"/>
    </row>
    <row r="443" spans="1:20" x14ac:dyDescent="0.2">
      <c r="A443" s="83"/>
      <c r="B443" s="410" t="s">
        <v>298</v>
      </c>
      <c r="C443" s="420"/>
      <c r="D443" s="411"/>
      <c r="E443" s="405"/>
      <c r="F443" s="406"/>
      <c r="G443" s="410" t="s">
        <v>299</v>
      </c>
      <c r="H443" s="420"/>
      <c r="I443" s="411"/>
      <c r="J443" s="454"/>
      <c r="K443" s="455"/>
      <c r="L443" s="456"/>
      <c r="M443" s="414" t="s">
        <v>300</v>
      </c>
      <c r="N443" s="415"/>
      <c r="O443" s="457"/>
      <c r="P443" s="458"/>
      <c r="Q443" s="63"/>
      <c r="R443" s="64"/>
    </row>
    <row r="444" spans="1:20" ht="13.5" thickBot="1" x14ac:dyDescent="0.25">
      <c r="A444" s="83"/>
      <c r="B444" s="78" t="s">
        <v>153</v>
      </c>
      <c r="C444" s="492"/>
      <c r="D444" s="493"/>
      <c r="E444" s="494" t="s">
        <v>301</v>
      </c>
      <c r="F444" s="495"/>
      <c r="G444" s="496"/>
      <c r="H444" s="497"/>
      <c r="I444" s="498"/>
      <c r="J444" s="414" t="s">
        <v>302</v>
      </c>
      <c r="K444" s="415"/>
      <c r="L444" s="454"/>
      <c r="M444" s="455"/>
      <c r="N444" s="455"/>
      <c r="O444" s="455"/>
      <c r="P444" s="456"/>
      <c r="Q444" s="63"/>
      <c r="R444" s="64"/>
    </row>
    <row r="445" spans="1:20" x14ac:dyDescent="0.2">
      <c r="A445" s="83"/>
      <c r="B445" s="499" t="s">
        <v>126</v>
      </c>
      <c r="C445" s="500"/>
      <c r="D445" s="500"/>
      <c r="E445" s="500"/>
      <c r="F445" s="500"/>
      <c r="G445" s="500"/>
      <c r="H445" s="500"/>
      <c r="I445" s="501"/>
      <c r="J445" s="505"/>
      <c r="K445" s="506"/>
      <c r="L445" s="506"/>
      <c r="M445" s="506"/>
      <c r="N445" s="506"/>
      <c r="O445" s="506"/>
      <c r="P445" s="507"/>
      <c r="Q445" s="63"/>
      <c r="R445" s="64"/>
    </row>
    <row r="446" spans="1:20" x14ac:dyDescent="0.2">
      <c r="A446" s="83"/>
      <c r="B446" s="502"/>
      <c r="C446" s="503"/>
      <c r="D446" s="503"/>
      <c r="E446" s="503"/>
      <c r="F446" s="503"/>
      <c r="G446" s="503"/>
      <c r="H446" s="503"/>
      <c r="I446" s="504"/>
      <c r="J446" s="508"/>
      <c r="K446" s="509"/>
      <c r="L446" s="509"/>
      <c r="M446" s="509"/>
      <c r="N446" s="509"/>
      <c r="O446" s="509"/>
      <c r="P446" s="510"/>
      <c r="Q446" s="63"/>
      <c r="R446" s="64"/>
    </row>
    <row r="447" spans="1:20" x14ac:dyDescent="0.2">
      <c r="A447" s="83"/>
      <c r="B447" s="514" t="s">
        <v>127</v>
      </c>
      <c r="C447" s="515"/>
      <c r="D447" s="515"/>
      <c r="E447" s="515"/>
      <c r="F447" s="515"/>
      <c r="G447" s="515"/>
      <c r="H447" s="515"/>
      <c r="I447" s="516"/>
      <c r="J447" s="508"/>
      <c r="K447" s="509"/>
      <c r="L447" s="509"/>
      <c r="M447" s="509"/>
      <c r="N447" s="509"/>
      <c r="O447" s="509"/>
      <c r="P447" s="510"/>
      <c r="Q447" s="63"/>
      <c r="R447" s="64"/>
    </row>
    <row r="448" spans="1:20" ht="13.5" thickBot="1" x14ac:dyDescent="0.25">
      <c r="A448" s="83"/>
      <c r="B448" s="517"/>
      <c r="C448" s="518"/>
      <c r="D448" s="518"/>
      <c r="E448" s="518"/>
      <c r="F448" s="518"/>
      <c r="G448" s="518"/>
      <c r="H448" s="518"/>
      <c r="I448" s="519"/>
      <c r="J448" s="511"/>
      <c r="K448" s="512"/>
      <c r="L448" s="512"/>
      <c r="M448" s="512"/>
      <c r="N448" s="512"/>
      <c r="O448" s="512"/>
      <c r="P448" s="513"/>
      <c r="Q448" s="63"/>
      <c r="R448" s="64"/>
    </row>
    <row r="449" spans="1:18" x14ac:dyDescent="0.2">
      <c r="A449" s="83"/>
      <c r="B449" s="480" t="s">
        <v>10</v>
      </c>
      <c r="C449" s="481"/>
      <c r="D449" s="481"/>
      <c r="E449" s="481"/>
      <c r="F449" s="481"/>
      <c r="G449" s="481"/>
      <c r="H449" s="481"/>
      <c r="I449" s="482"/>
      <c r="J449" s="79">
        <v>1</v>
      </c>
      <c r="K449" s="483"/>
      <c r="L449" s="484"/>
      <c r="M449" s="484"/>
      <c r="N449" s="484"/>
      <c r="O449" s="484"/>
      <c r="P449" s="485"/>
      <c r="Q449" s="63"/>
      <c r="R449" s="64"/>
    </row>
    <row r="450" spans="1:18" x14ac:dyDescent="0.2">
      <c r="A450" s="83"/>
      <c r="B450" s="486" t="s">
        <v>276</v>
      </c>
      <c r="C450" s="531"/>
      <c r="D450" s="531"/>
      <c r="E450" s="531"/>
      <c r="F450" s="531"/>
      <c r="G450" s="531"/>
      <c r="H450" s="531"/>
      <c r="I450" s="532"/>
      <c r="J450" s="80">
        <v>2</v>
      </c>
      <c r="K450" s="454"/>
      <c r="L450" s="455"/>
      <c r="M450" s="455"/>
      <c r="N450" s="455"/>
      <c r="O450" s="455"/>
      <c r="P450" s="456"/>
      <c r="Q450" s="63"/>
      <c r="R450" s="64"/>
    </row>
    <row r="451" spans="1:18" x14ac:dyDescent="0.2">
      <c r="A451" s="83"/>
      <c r="B451" s="489" t="s">
        <v>234</v>
      </c>
      <c r="C451" s="490"/>
      <c r="D451" s="490"/>
      <c r="E451" s="490"/>
      <c r="F451" s="490"/>
      <c r="G451" s="490"/>
      <c r="H451" s="490"/>
      <c r="I451" s="491"/>
      <c r="J451" s="80">
        <v>3</v>
      </c>
      <c r="K451" s="454"/>
      <c r="L451" s="455"/>
      <c r="M451" s="455"/>
      <c r="N451" s="455"/>
      <c r="O451" s="455"/>
      <c r="P451" s="456"/>
      <c r="Q451" s="63"/>
      <c r="R451" s="64"/>
    </row>
    <row r="452" spans="1:18" x14ac:dyDescent="0.2">
      <c r="A452" s="83"/>
      <c r="B452" s="468"/>
      <c r="C452" s="468"/>
      <c r="D452" s="468"/>
      <c r="E452" s="468"/>
      <c r="F452" s="468"/>
      <c r="G452" s="468"/>
      <c r="H452" s="468"/>
      <c r="I452" s="468"/>
      <c r="J452" s="468"/>
      <c r="K452" s="468"/>
      <c r="L452" s="468"/>
      <c r="M452" s="468"/>
      <c r="N452" s="468"/>
      <c r="O452" s="468"/>
      <c r="P452" s="468"/>
      <c r="Q452" s="63"/>
      <c r="R452" s="64"/>
    </row>
    <row r="453" spans="1:18" ht="12" customHeight="1" x14ac:dyDescent="0.2">
      <c r="A453" s="83"/>
      <c r="B453" s="469" t="s">
        <v>84</v>
      </c>
      <c r="C453" s="471" t="str">
        <f>IF(CODE(B453)=89,"This candidate would like to receive Special","This candidate would not like to receive Special")</f>
        <v>This candidate would like to receive Special</v>
      </c>
      <c r="D453" s="472"/>
      <c r="E453" s="472"/>
      <c r="F453" s="472"/>
      <c r="G453" s="472"/>
      <c r="H453" s="472"/>
      <c r="I453" s="473"/>
      <c r="J453" s="81"/>
      <c r="K453" s="474" t="s">
        <v>235</v>
      </c>
      <c r="L453" s="474"/>
      <c r="M453" s="475"/>
      <c r="N453" s="51" t="str">
        <f>IF($P$33&gt;=13,13,"")</f>
        <v/>
      </c>
      <c r="O453" s="62" t="s">
        <v>52</v>
      </c>
      <c r="P453" s="51" t="str">
        <f>IF($P$33&gt;=13,$P$33,"")</f>
        <v/>
      </c>
      <c r="Q453" s="63"/>
      <c r="R453" s="64"/>
    </row>
    <row r="454" spans="1:18" ht="12" customHeight="1" x14ac:dyDescent="0.2">
      <c r="A454" s="83"/>
      <c r="B454" s="470"/>
      <c r="C454" s="476" t="str">
        <f>IF(CODE(B453)=89,"Announcements and Bulletins from RAD Canada","Announcements and Bulletins from RAD Canada")</f>
        <v>Announcements and Bulletins from RAD Canada</v>
      </c>
      <c r="D454" s="477"/>
      <c r="E454" s="477"/>
      <c r="F454" s="477"/>
      <c r="G454" s="477"/>
      <c r="H454" s="477"/>
      <c r="I454" s="478"/>
      <c r="J454" s="479"/>
      <c r="K454" s="400"/>
      <c r="L454" s="400"/>
      <c r="M454" s="400"/>
      <c r="N454" s="400"/>
      <c r="O454" s="400"/>
      <c r="P454" s="400"/>
      <c r="Q454" s="63"/>
      <c r="R454" s="64"/>
    </row>
    <row r="455" spans="1:18" x14ac:dyDescent="0.2">
      <c r="A455" s="83"/>
      <c r="B455" s="400"/>
      <c r="C455" s="400"/>
      <c r="D455" s="400"/>
      <c r="E455" s="400"/>
      <c r="F455" s="400"/>
      <c r="G455" s="400"/>
      <c r="H455" s="400"/>
      <c r="I455" s="400"/>
      <c r="J455" s="400"/>
      <c r="K455" s="400"/>
      <c r="L455" s="400"/>
      <c r="M455" s="400"/>
      <c r="N455" s="400"/>
      <c r="O455" s="400"/>
      <c r="P455" s="400"/>
      <c r="Q455" s="63"/>
      <c r="R455" s="64"/>
    </row>
    <row r="456" spans="1:18" x14ac:dyDescent="0.2">
      <c r="A456" s="83"/>
      <c r="B456" s="62"/>
      <c r="C456" s="62"/>
      <c r="D456" s="62"/>
      <c r="E456" s="62"/>
      <c r="F456" s="62"/>
      <c r="G456" s="62"/>
      <c r="H456" s="62"/>
      <c r="I456" s="62"/>
      <c r="J456" s="62"/>
      <c r="K456" s="62"/>
      <c r="L456" s="62"/>
      <c r="M456" s="62"/>
      <c r="N456" s="62"/>
      <c r="O456" s="62"/>
      <c r="P456" s="62"/>
      <c r="Q456" s="63"/>
      <c r="R456" s="64"/>
    </row>
    <row r="457" spans="1:18" x14ac:dyDescent="0.2">
      <c r="A457" s="83"/>
      <c r="B457" s="401" t="s">
        <v>281</v>
      </c>
      <c r="C457" s="402"/>
      <c r="D457" s="402"/>
      <c r="E457" s="402"/>
      <c r="F457" s="402"/>
      <c r="G457" s="402"/>
      <c r="H457" s="62"/>
      <c r="I457" s="62"/>
      <c r="J457" s="62"/>
      <c r="K457" s="62"/>
      <c r="L457" s="62"/>
      <c r="M457" s="62"/>
      <c r="N457" s="62"/>
      <c r="O457" s="62"/>
      <c r="P457" s="62"/>
      <c r="Q457" s="63"/>
      <c r="R457" s="64"/>
    </row>
    <row r="458" spans="1:18" ht="15.75" x14ac:dyDescent="0.25">
      <c r="A458" s="83"/>
      <c r="B458" s="402"/>
      <c r="C458" s="402"/>
      <c r="D458" s="402"/>
      <c r="E458" s="402"/>
      <c r="F458" s="402"/>
      <c r="G458" s="402"/>
      <c r="H458" s="82"/>
      <c r="I458" s="403"/>
      <c r="J458" s="403"/>
      <c r="K458" s="403"/>
      <c r="L458" s="403"/>
      <c r="M458" s="403"/>
      <c r="N458" s="403"/>
      <c r="O458" s="403"/>
      <c r="P458" s="403"/>
      <c r="Q458" s="63"/>
      <c r="R458" s="64"/>
    </row>
    <row r="459" spans="1:18" x14ac:dyDescent="0.2">
      <c r="A459" s="83"/>
      <c r="B459" s="400"/>
      <c r="C459" s="400"/>
      <c r="D459" s="400"/>
      <c r="E459" s="400"/>
      <c r="F459" s="400"/>
      <c r="G459" s="400"/>
      <c r="H459" s="400"/>
      <c r="I459" s="400"/>
      <c r="J459" s="400"/>
      <c r="K459" s="400"/>
      <c r="L459" s="400"/>
      <c r="M459" s="403"/>
      <c r="N459" s="403"/>
      <c r="O459" s="403"/>
      <c r="P459" s="403"/>
      <c r="Q459" s="63"/>
      <c r="R459" s="64"/>
    </row>
    <row r="460" spans="1:18" x14ac:dyDescent="0.2">
      <c r="A460" s="83"/>
      <c r="B460" s="404" t="s">
        <v>260</v>
      </c>
      <c r="C460" s="404"/>
      <c r="D460" s="404"/>
      <c r="E460" s="404"/>
      <c r="F460" s="400"/>
      <c r="G460" s="400"/>
      <c r="H460" s="400"/>
      <c r="I460" s="400"/>
      <c r="J460" s="400"/>
      <c r="K460" s="400"/>
      <c r="L460" s="400"/>
      <c r="M460" s="403"/>
      <c r="N460" s="403"/>
      <c r="O460" s="403"/>
      <c r="P460" s="403"/>
      <c r="Q460" s="63"/>
      <c r="R460" s="64"/>
    </row>
    <row r="461" spans="1:18" x14ac:dyDescent="0.2">
      <c r="A461" s="83"/>
      <c r="B461" s="69"/>
      <c r="C461" s="324" t="s">
        <v>75</v>
      </c>
      <c r="D461" s="408"/>
      <c r="E461" s="409"/>
      <c r="F461" s="400"/>
      <c r="G461" s="400"/>
      <c r="H461" s="400"/>
      <c r="I461" s="400"/>
      <c r="J461" s="400"/>
      <c r="K461" s="400"/>
      <c r="L461" s="400"/>
      <c r="M461" s="70"/>
      <c r="N461" s="70"/>
      <c r="O461" s="70"/>
      <c r="P461" s="70"/>
      <c r="Q461" s="63"/>
      <c r="R461" s="64"/>
    </row>
    <row r="462" spans="1:18" x14ac:dyDescent="0.2">
      <c r="A462" s="83"/>
      <c r="B462" s="71"/>
      <c r="C462" s="324" t="s">
        <v>128</v>
      </c>
      <c r="D462" s="408"/>
      <c r="E462" s="409"/>
      <c r="F462" s="400"/>
      <c r="G462" s="400"/>
      <c r="H462" s="400"/>
      <c r="I462" s="400"/>
      <c r="J462" s="400"/>
      <c r="K462" s="400"/>
      <c r="L462" s="400"/>
      <c r="M462" s="407" t="s">
        <v>256</v>
      </c>
      <c r="N462" s="407"/>
      <c r="O462" s="407"/>
      <c r="P462" s="407"/>
      <c r="Q462" s="63"/>
      <c r="R462" s="64"/>
    </row>
    <row r="463" spans="1:18" x14ac:dyDescent="0.2">
      <c r="A463" s="83"/>
      <c r="B463" s="56"/>
      <c r="C463" s="324" t="s">
        <v>282</v>
      </c>
      <c r="D463" s="408"/>
      <c r="E463" s="409"/>
      <c r="F463" s="400"/>
      <c r="G463" s="400"/>
      <c r="H463" s="400"/>
      <c r="I463" s="400"/>
      <c r="J463" s="400"/>
      <c r="K463" s="400"/>
      <c r="L463" s="400"/>
      <c r="M463" s="407"/>
      <c r="N463" s="407"/>
      <c r="O463" s="407"/>
      <c r="P463" s="407"/>
      <c r="Q463" s="63"/>
      <c r="R463" s="64"/>
    </row>
    <row r="464" spans="1:18" x14ac:dyDescent="0.2">
      <c r="A464" s="83"/>
      <c r="B464" s="520"/>
      <c r="C464" s="520"/>
      <c r="D464" s="520"/>
      <c r="E464" s="520"/>
      <c r="F464" s="520"/>
      <c r="G464" s="520"/>
      <c r="H464" s="520"/>
      <c r="I464" s="520"/>
      <c r="J464" s="520"/>
      <c r="K464" s="520"/>
      <c r="L464" s="520"/>
      <c r="M464" s="520"/>
      <c r="N464" s="520"/>
      <c r="O464" s="520"/>
      <c r="P464" s="520"/>
      <c r="Q464" s="63"/>
      <c r="R464" s="64"/>
    </row>
    <row r="465" spans="1:20" x14ac:dyDescent="0.2">
      <c r="A465" s="83"/>
      <c r="B465" s="432" t="s">
        <v>117</v>
      </c>
      <c r="C465" s="433"/>
      <c r="D465" s="434"/>
      <c r="E465" s="442" t="str">
        <f>IF(AND($P$33&gt;=14,NOT(ISBLANK($E$10))),$E$10,"")</f>
        <v/>
      </c>
      <c r="F465" s="443"/>
      <c r="G465" s="444"/>
      <c r="H465" s="414" t="s">
        <v>124</v>
      </c>
      <c r="I465" s="415"/>
      <c r="J465" s="442" t="str">
        <f>IF(AND($P$33&gt;=14,NOT(ISBLANK($J$10))),$J$10,"")</f>
        <v/>
      </c>
      <c r="K465" s="443"/>
      <c r="L465" s="444"/>
      <c r="M465" s="414" t="s">
        <v>118</v>
      </c>
      <c r="N465" s="415"/>
      <c r="O465" s="430" t="str">
        <f>IF(AND($P$33&gt;=14,NOT(ISBLANK($O$10))),$O$10,"")</f>
        <v/>
      </c>
      <c r="P465" s="521"/>
      <c r="Q465" s="63"/>
      <c r="R465" s="545" t="s">
        <v>307</v>
      </c>
      <c r="S465" s="546"/>
      <c r="T465" s="547"/>
    </row>
    <row r="466" spans="1:20" x14ac:dyDescent="0.2">
      <c r="A466" s="83"/>
      <c r="B466" s="432" t="s">
        <v>240</v>
      </c>
      <c r="C466" s="433"/>
      <c r="D466" s="434"/>
      <c r="E466" s="435" t="str">
        <f>IF(NOT($N488=14),"",IF(ISERROR(LOOKUP(14,'Teacher Summary Sheet'!$M$19:$M$181)),"",IF(VLOOKUP(14,'Teacher Summary Sheet'!$M$19:$R$181,2)=0,"",VLOOKUP(14,'Teacher Summary Sheet'!$M$19:$R$181,2))))</f>
        <v/>
      </c>
      <c r="F466" s="436"/>
      <c r="G466" s="437"/>
      <c r="H466" s="438" t="s">
        <v>119</v>
      </c>
      <c r="I466" s="439"/>
      <c r="J466" s="102" t="str">
        <f>IF(NOT($N488=14),"",IF(ISERROR(LOOKUP(14,'Teacher Summary Sheet'!$M$19:$M$181)),"",IF(VLOOKUP(14,'Teacher Summary Sheet'!$M$19:$R$181,6)=0,"",VLOOKUP(14,'Teacher Summary Sheet'!$M$19:$R$181,6))))</f>
        <v/>
      </c>
      <c r="K466" s="414" t="s">
        <v>179</v>
      </c>
      <c r="L466" s="419"/>
      <c r="M466" s="415"/>
      <c r="N466" s="412" t="str">
        <f>IF(NOT($N488=14),"",IF(ISERROR(LOOKUP(14,'Teacher Summary Sheet'!$M$19:$M$181)),"",IF('Teacher Summary Sheet'!$F$31=0,"",'Teacher Summary Sheet'!$F$31)))</f>
        <v/>
      </c>
      <c r="O466" s="440"/>
      <c r="P466" s="413"/>
      <c r="Q466" s="63"/>
      <c r="R466" s="548"/>
      <c r="S466" s="549"/>
      <c r="T466" s="550"/>
    </row>
    <row r="467" spans="1:20" ht="14.25" x14ac:dyDescent="0.2">
      <c r="A467" s="83"/>
      <c r="B467" s="410" t="s">
        <v>241</v>
      </c>
      <c r="C467" s="420"/>
      <c r="D467" s="411"/>
      <c r="E467" s="421" t="str">
        <f>IF(NOT($N488=14),"",IF(ISERROR(LOOKUP(14,'Teacher Summary Sheet'!$M$19:$M$181)),"",IF(VLOOKUP(14,'Teacher Summary Sheet'!$M$19:$R$181,3)=0,"",VLOOKUP(14,'Teacher Summary Sheet'!$M$19:$R$181,3))))</f>
        <v/>
      </c>
      <c r="F467" s="422"/>
      <c r="G467" s="422"/>
      <c r="H467" s="422"/>
      <c r="I467" s="423"/>
      <c r="J467" s="414" t="s">
        <v>124</v>
      </c>
      <c r="K467" s="415"/>
      <c r="L467" s="424" t="str">
        <f>IF(NOT($N488=14),"",IF(ISERROR(LOOKUP(14,'Teacher Summary Sheet'!$M$19:$M$181)),"",IF(VLOOKUP(14,'Teacher Summary Sheet'!$M$19:$R$181,4)=0,"",VLOOKUP(14,'Teacher Summary Sheet'!$M$19:$R$181,4))))</f>
        <v/>
      </c>
      <c r="M467" s="425"/>
      <c r="N467" s="425"/>
      <c r="O467" s="425"/>
      <c r="P467" s="426"/>
      <c r="Q467" s="63"/>
      <c r="R467" s="125" t="str">
        <f>IF(NOT(N488=14),"",IF(COUNTIF(R469:R475,"P")=7,"P","O"))</f>
        <v/>
      </c>
      <c r="S467" s="110" t="str">
        <f>IF(NOT(N488=14),"",IF(COUNTIF(R469:R475,"P")=7,"Complete","Incomplete"))</f>
        <v/>
      </c>
      <c r="T467" s="111"/>
    </row>
    <row r="468" spans="1:20" x14ac:dyDescent="0.2">
      <c r="A468" s="83"/>
      <c r="B468" s="410" t="s">
        <v>120</v>
      </c>
      <c r="C468" s="420"/>
      <c r="D468" s="411"/>
      <c r="E468" s="427"/>
      <c r="F468" s="428"/>
      <c r="G468" s="428"/>
      <c r="H468" s="428"/>
      <c r="I468" s="428"/>
      <c r="J468" s="429"/>
      <c r="K468" s="62" t="s">
        <v>121</v>
      </c>
      <c r="L468" s="427"/>
      <c r="M468" s="428"/>
      <c r="N468" s="428"/>
      <c r="O468" s="428"/>
      <c r="P468" s="429"/>
      <c r="Q468" s="63"/>
    </row>
    <row r="469" spans="1:20" ht="14.25" x14ac:dyDescent="0.2">
      <c r="A469" s="83"/>
      <c r="B469" s="410" t="s">
        <v>196</v>
      </c>
      <c r="C469" s="420"/>
      <c r="D469" s="411"/>
      <c r="E469" s="427"/>
      <c r="F469" s="428"/>
      <c r="G469" s="428"/>
      <c r="H469" s="428"/>
      <c r="I469" s="429"/>
      <c r="J469" s="73" t="s">
        <v>197</v>
      </c>
      <c r="K469" s="405"/>
      <c r="L469" s="406"/>
      <c r="M469" s="414" t="s">
        <v>212</v>
      </c>
      <c r="N469" s="415"/>
      <c r="O469" s="405"/>
      <c r="P469" s="406"/>
      <c r="Q469" s="63"/>
      <c r="R469" s="124" t="str">
        <f>IF(NOT(N488=14),"",IF(OR(COUNTBLANK(E467:E467)=1,COUNTBLANK(L467:L467)=1),"O","P"))</f>
        <v/>
      </c>
      <c r="S469" s="108" t="str">
        <f>IF(NOT(N488=14),"","Candidate Name")</f>
        <v/>
      </c>
      <c r="T469" s="64"/>
    </row>
    <row r="470" spans="1:20" ht="14.25" x14ac:dyDescent="0.2">
      <c r="A470" s="83"/>
      <c r="B470" s="410" t="s">
        <v>198</v>
      </c>
      <c r="C470" s="420"/>
      <c r="D470" s="411"/>
      <c r="E470" s="454"/>
      <c r="F470" s="455"/>
      <c r="G470" s="455"/>
      <c r="H470" s="456"/>
      <c r="I470" s="74" t="s">
        <v>199</v>
      </c>
      <c r="J470" s="427"/>
      <c r="K470" s="428"/>
      <c r="L470" s="428"/>
      <c r="M470" s="428"/>
      <c r="N470" s="428"/>
      <c r="O470" s="428"/>
      <c r="P470" s="429"/>
      <c r="Q470" s="63"/>
      <c r="R470" s="124" t="str">
        <f>IF(NOT(N488=14),"",IF(COUNTBLANK(E466:E466)=1,"O","P"))</f>
        <v/>
      </c>
      <c r="S470" s="108" t="str">
        <f>IF(NOT(N488=14),"","Candidate ID")</f>
        <v/>
      </c>
      <c r="T470" s="64"/>
    </row>
    <row r="471" spans="1:20" ht="14.25" x14ac:dyDescent="0.2">
      <c r="A471" s="83"/>
      <c r="B471" s="410" t="s">
        <v>227</v>
      </c>
      <c r="C471" s="420"/>
      <c r="D471" s="411"/>
      <c r="E471" s="75" t="s">
        <v>218</v>
      </c>
      <c r="F471" s="405"/>
      <c r="G471" s="448"/>
      <c r="H471" s="75" t="s">
        <v>138</v>
      </c>
      <c r="I471" s="449"/>
      <c r="J471" s="450"/>
      <c r="K471" s="76" t="s">
        <v>139</v>
      </c>
      <c r="L471" s="451"/>
      <c r="M471" s="452"/>
      <c r="N471" s="76" t="s">
        <v>228</v>
      </c>
      <c r="O471" s="453" t="str">
        <f ca="1">IF(OR(ISBLANK(L471),ISBLANK(I471),ISBLANK(F471),COUNTBLANK(J466:J466)=1),"",IF(DATEDIF(DATE(L471,VLOOKUP(I471,data!$T$2:$U$13,2,FALSE),F471),IF(AND(TODAY()&lt;data!$AJ$12,TODAY()&gt;data!$AI$12),data!$AI$3,data!$AJ$3),"Y")&gt;=data!$AC$16,YEAR(TODAY())-L471,data!$AD$3))</f>
        <v/>
      </c>
      <c r="P471" s="413"/>
      <c r="Q471" s="63"/>
      <c r="R471" s="124" t="str">
        <f>IF(NOT(N488=14),"",IF(OR(ISBLANK(E468),ISBLANK(L468),ISBLANK(K469),ISBLANK(O469)),"O","P"))</f>
        <v/>
      </c>
      <c r="S471" s="108" t="str">
        <f>IF(NOT(N488=14),"","Address")</f>
        <v/>
      </c>
      <c r="T471" s="64"/>
    </row>
    <row r="472" spans="1:20" ht="15" thickBot="1" x14ac:dyDescent="0.25">
      <c r="A472" s="83"/>
      <c r="B472" s="410" t="s">
        <v>214</v>
      </c>
      <c r="C472" s="411"/>
      <c r="D472" s="412" t="str">
        <f>IF(NOT($N488=14),"",IF(ISERROR(LOOKUP(14,'Teacher Summary Sheet'!$M$19:$M$181)),"",IF(VLOOKUP(14,'Teacher Summary Sheet'!$M$19:$R$181,5)=0,"",VLOOKUP(14,'Teacher Summary Sheet'!$M$19:$R$181,5))))</f>
        <v/>
      </c>
      <c r="E472" s="413"/>
      <c r="F472" s="414" t="s">
        <v>319</v>
      </c>
      <c r="G472" s="415"/>
      <c r="H472" s="416"/>
      <c r="I472" s="417"/>
      <c r="J472" s="418"/>
      <c r="K472" s="414" t="s">
        <v>320</v>
      </c>
      <c r="L472" s="419"/>
      <c r="M472" s="419"/>
      <c r="N472" s="415"/>
      <c r="O472" s="405" t="s">
        <v>268</v>
      </c>
      <c r="P472" s="406"/>
      <c r="Q472" s="63"/>
      <c r="R472" s="124" t="str">
        <f>IF(NOT(N488=14),"",IF(OR(ISBLANK(F471),ISBLANK(I471),ISBLANK(L471)),"O","P"))</f>
        <v/>
      </c>
      <c r="S472" s="108" t="str">
        <f>IF(NOT(N488=14),"","Date of Birth")</f>
        <v/>
      </c>
      <c r="T472" s="64"/>
    </row>
    <row r="473" spans="1:20" ht="14.25" x14ac:dyDescent="0.2">
      <c r="A473" s="83"/>
      <c r="B473" s="522" t="s">
        <v>297</v>
      </c>
      <c r="C473" s="463"/>
      <c r="D473" s="463"/>
      <c r="E473" s="463"/>
      <c r="F473" s="463"/>
      <c r="G473" s="463"/>
      <c r="H473" s="463"/>
      <c r="I473" s="463"/>
      <c r="J473" s="463"/>
      <c r="K473" s="463"/>
      <c r="L473" s="463"/>
      <c r="M473" s="463"/>
      <c r="N473" s="463"/>
      <c r="O473" s="463"/>
      <c r="P473" s="464"/>
      <c r="Q473" s="63"/>
      <c r="R473" s="124" t="str">
        <f>IF(NOT(N488=14),"",IF(COUNTBLANK(J466:J466)=1,"O","P"))</f>
        <v/>
      </c>
      <c r="S473" s="112" t="str">
        <f>IF(NOT(N488=14),"","Exam Level")</f>
        <v/>
      </c>
      <c r="T473" s="64"/>
    </row>
    <row r="474" spans="1:20" ht="14.25" x14ac:dyDescent="0.2">
      <c r="A474" s="83"/>
      <c r="B474" s="465"/>
      <c r="C474" s="466"/>
      <c r="D474" s="466"/>
      <c r="E474" s="466"/>
      <c r="F474" s="466"/>
      <c r="G474" s="466"/>
      <c r="H474" s="466"/>
      <c r="I474" s="466"/>
      <c r="J474" s="466"/>
      <c r="K474" s="466"/>
      <c r="L474" s="466"/>
      <c r="M474" s="466"/>
      <c r="N474" s="466"/>
      <c r="O474" s="466"/>
      <c r="P474" s="467"/>
      <c r="Q474" s="63"/>
      <c r="R474" s="124" t="str">
        <f>IF(NOT(N488=14),"",IF(COUNTBLANK(D472:D472)=1,"O","P"))</f>
        <v/>
      </c>
      <c r="S474" s="109" t="str">
        <f>IF(NOT(N488=14),"","Gender")</f>
        <v/>
      </c>
      <c r="T474" s="64"/>
    </row>
    <row r="475" spans="1:20" ht="14.25" x14ac:dyDescent="0.2">
      <c r="A475" s="83"/>
      <c r="B475" s="432" t="s">
        <v>298</v>
      </c>
      <c r="C475" s="433"/>
      <c r="D475" s="434"/>
      <c r="E475" s="405"/>
      <c r="F475" s="406"/>
      <c r="G475" s="432" t="s">
        <v>299</v>
      </c>
      <c r="H475" s="433"/>
      <c r="I475" s="434"/>
      <c r="J475" s="405"/>
      <c r="K475" s="448"/>
      <c r="L475" s="406"/>
      <c r="M475" s="414" t="s">
        <v>300</v>
      </c>
      <c r="N475" s="415"/>
      <c r="O475" s="457"/>
      <c r="P475" s="458"/>
      <c r="Q475" s="63"/>
      <c r="R475" s="124" t="str">
        <f>IF(NOT(N488=14),"",IF(ISBLANK(H472),"O","P"))</f>
        <v/>
      </c>
      <c r="S475" s="109" t="str">
        <f>IF(NOT(N488=14),"","Height")</f>
        <v/>
      </c>
      <c r="T475" s="64"/>
    </row>
    <row r="476" spans="1:20" x14ac:dyDescent="0.2">
      <c r="A476" s="83"/>
      <c r="B476" s="77" t="s">
        <v>153</v>
      </c>
      <c r="C476" s="405"/>
      <c r="D476" s="406"/>
      <c r="E476" s="414" t="s">
        <v>301</v>
      </c>
      <c r="F476" s="415"/>
      <c r="G476" s="459"/>
      <c r="H476" s="460"/>
      <c r="I476" s="461"/>
      <c r="J476" s="414" t="s">
        <v>302</v>
      </c>
      <c r="K476" s="415"/>
      <c r="L476" s="454"/>
      <c r="M476" s="455"/>
      <c r="N476" s="455"/>
      <c r="O476" s="455"/>
      <c r="P476" s="456"/>
      <c r="Q476" s="63"/>
      <c r="R476" s="64"/>
      <c r="S476" s="64"/>
      <c r="T476" s="64"/>
    </row>
    <row r="477" spans="1:20" x14ac:dyDescent="0.2">
      <c r="A477" s="83"/>
      <c r="B477" s="410" t="s">
        <v>116</v>
      </c>
      <c r="C477" s="420"/>
      <c r="D477" s="420"/>
      <c r="E477" s="420"/>
      <c r="F477" s="420"/>
      <c r="G477" s="420"/>
      <c r="H477" s="420"/>
      <c r="I477" s="420"/>
      <c r="J477" s="420"/>
      <c r="K477" s="420"/>
      <c r="L477" s="420"/>
      <c r="M477" s="420"/>
      <c r="N477" s="420"/>
      <c r="O477" s="420"/>
      <c r="P477" s="411"/>
      <c r="Q477" s="63"/>
      <c r="R477" s="64"/>
      <c r="S477" s="64"/>
      <c r="T477" s="64"/>
    </row>
    <row r="478" spans="1:20" x14ac:dyDescent="0.2">
      <c r="A478" s="83"/>
      <c r="B478" s="410" t="s">
        <v>298</v>
      </c>
      <c r="C478" s="420"/>
      <c r="D478" s="411"/>
      <c r="E478" s="405"/>
      <c r="F478" s="406"/>
      <c r="G478" s="410" t="s">
        <v>299</v>
      </c>
      <c r="H478" s="420"/>
      <c r="I478" s="411"/>
      <c r="J478" s="454"/>
      <c r="K478" s="455"/>
      <c r="L478" s="456"/>
      <c r="M478" s="414" t="s">
        <v>300</v>
      </c>
      <c r="N478" s="415"/>
      <c r="O478" s="457"/>
      <c r="P478" s="458"/>
      <c r="Q478" s="63"/>
      <c r="R478" s="64"/>
    </row>
    <row r="479" spans="1:20" ht="13.5" thickBot="1" x14ac:dyDescent="0.25">
      <c r="A479" s="83"/>
      <c r="B479" s="78" t="s">
        <v>153</v>
      </c>
      <c r="C479" s="492"/>
      <c r="D479" s="493"/>
      <c r="E479" s="494" t="s">
        <v>301</v>
      </c>
      <c r="F479" s="495"/>
      <c r="G479" s="496"/>
      <c r="H479" s="497"/>
      <c r="I479" s="498"/>
      <c r="J479" s="414" t="s">
        <v>302</v>
      </c>
      <c r="K479" s="415"/>
      <c r="L479" s="454"/>
      <c r="M479" s="455"/>
      <c r="N479" s="455"/>
      <c r="O479" s="455"/>
      <c r="P479" s="456"/>
      <c r="Q479" s="63"/>
      <c r="R479" s="64"/>
    </row>
    <row r="480" spans="1:20" x14ac:dyDescent="0.2">
      <c r="A480" s="83"/>
      <c r="B480" s="499" t="s">
        <v>126</v>
      </c>
      <c r="C480" s="500"/>
      <c r="D480" s="500"/>
      <c r="E480" s="500"/>
      <c r="F480" s="500"/>
      <c r="G480" s="500"/>
      <c r="H480" s="500"/>
      <c r="I480" s="501"/>
      <c r="J480" s="505"/>
      <c r="K480" s="506"/>
      <c r="L480" s="506"/>
      <c r="M480" s="506"/>
      <c r="N480" s="506"/>
      <c r="O480" s="506"/>
      <c r="P480" s="507"/>
      <c r="Q480" s="63"/>
      <c r="R480" s="64"/>
    </row>
    <row r="481" spans="1:18" x14ac:dyDescent="0.2">
      <c r="A481" s="83"/>
      <c r="B481" s="502"/>
      <c r="C481" s="503"/>
      <c r="D481" s="503"/>
      <c r="E481" s="503"/>
      <c r="F481" s="503"/>
      <c r="G481" s="503"/>
      <c r="H481" s="503"/>
      <c r="I481" s="504"/>
      <c r="J481" s="508"/>
      <c r="K481" s="509"/>
      <c r="L481" s="509"/>
      <c r="M481" s="509"/>
      <c r="N481" s="509"/>
      <c r="O481" s="509"/>
      <c r="P481" s="510"/>
      <c r="Q481" s="63"/>
      <c r="R481" s="64"/>
    </row>
    <row r="482" spans="1:18" x14ac:dyDescent="0.2">
      <c r="A482" s="83"/>
      <c r="B482" s="514" t="s">
        <v>127</v>
      </c>
      <c r="C482" s="515"/>
      <c r="D482" s="515"/>
      <c r="E482" s="515"/>
      <c r="F482" s="515"/>
      <c r="G482" s="515"/>
      <c r="H482" s="515"/>
      <c r="I482" s="516"/>
      <c r="J482" s="508"/>
      <c r="K482" s="509"/>
      <c r="L482" s="509"/>
      <c r="M482" s="509"/>
      <c r="N482" s="509"/>
      <c r="O482" s="509"/>
      <c r="P482" s="510"/>
      <c r="Q482" s="63"/>
      <c r="R482" s="64"/>
    </row>
    <row r="483" spans="1:18" ht="13.5" thickBot="1" x14ac:dyDescent="0.25">
      <c r="A483" s="83"/>
      <c r="B483" s="517"/>
      <c r="C483" s="518"/>
      <c r="D483" s="518"/>
      <c r="E483" s="518"/>
      <c r="F483" s="518"/>
      <c r="G483" s="518"/>
      <c r="H483" s="518"/>
      <c r="I483" s="519"/>
      <c r="J483" s="511"/>
      <c r="K483" s="512"/>
      <c r="L483" s="512"/>
      <c r="M483" s="512"/>
      <c r="N483" s="512"/>
      <c r="O483" s="512"/>
      <c r="P483" s="513"/>
      <c r="Q483" s="63"/>
      <c r="R483" s="64"/>
    </row>
    <row r="484" spans="1:18" x14ac:dyDescent="0.2">
      <c r="A484" s="83"/>
      <c r="B484" s="480" t="s">
        <v>10</v>
      </c>
      <c r="C484" s="481"/>
      <c r="D484" s="481"/>
      <c r="E484" s="481"/>
      <c r="F484" s="481"/>
      <c r="G484" s="481"/>
      <c r="H484" s="481"/>
      <c r="I484" s="482"/>
      <c r="J484" s="79">
        <v>1</v>
      </c>
      <c r="K484" s="483"/>
      <c r="L484" s="484"/>
      <c r="M484" s="484"/>
      <c r="N484" s="484"/>
      <c r="O484" s="484"/>
      <c r="P484" s="485"/>
      <c r="Q484" s="63"/>
      <c r="R484" s="64"/>
    </row>
    <row r="485" spans="1:18" x14ac:dyDescent="0.2">
      <c r="A485" s="83"/>
      <c r="B485" s="486" t="s">
        <v>276</v>
      </c>
      <c r="C485" s="487"/>
      <c r="D485" s="487"/>
      <c r="E485" s="487"/>
      <c r="F485" s="487"/>
      <c r="G485" s="487"/>
      <c r="H485" s="487"/>
      <c r="I485" s="488"/>
      <c r="J485" s="80">
        <v>2</v>
      </c>
      <c r="K485" s="454"/>
      <c r="L485" s="455"/>
      <c r="M485" s="455"/>
      <c r="N485" s="455"/>
      <c r="O485" s="455"/>
      <c r="P485" s="456"/>
      <c r="Q485" s="63"/>
      <c r="R485" s="64"/>
    </row>
    <row r="486" spans="1:18" x14ac:dyDescent="0.2">
      <c r="A486" s="83"/>
      <c r="B486" s="489" t="s">
        <v>234</v>
      </c>
      <c r="C486" s="490"/>
      <c r="D486" s="490"/>
      <c r="E486" s="490"/>
      <c r="F486" s="490"/>
      <c r="G486" s="490"/>
      <c r="H486" s="490"/>
      <c r="I486" s="491"/>
      <c r="J486" s="80">
        <v>3</v>
      </c>
      <c r="K486" s="454"/>
      <c r="L486" s="455"/>
      <c r="M486" s="455"/>
      <c r="N486" s="455"/>
      <c r="O486" s="455"/>
      <c r="P486" s="456"/>
      <c r="Q486" s="63"/>
      <c r="R486" s="64"/>
    </row>
    <row r="487" spans="1:18" x14ac:dyDescent="0.2">
      <c r="A487" s="83"/>
      <c r="B487" s="468"/>
      <c r="C487" s="468"/>
      <c r="D487" s="468"/>
      <c r="E487" s="468"/>
      <c r="F487" s="468"/>
      <c r="G487" s="468"/>
      <c r="H487" s="468"/>
      <c r="I487" s="468"/>
      <c r="J487" s="468"/>
      <c r="K487" s="468"/>
      <c r="L487" s="468"/>
      <c r="M487" s="468"/>
      <c r="N487" s="468"/>
      <c r="O487" s="468"/>
      <c r="P487" s="468"/>
      <c r="Q487" s="63"/>
      <c r="R487" s="64"/>
    </row>
    <row r="488" spans="1:18" ht="12" customHeight="1" x14ac:dyDescent="0.2">
      <c r="A488" s="83"/>
      <c r="B488" s="469" t="s">
        <v>84</v>
      </c>
      <c r="C488" s="471" t="str">
        <f>IF(CODE(B488)=89,"This candidate would like to receive Special","This candidate would not like to receive Special")</f>
        <v>This candidate would like to receive Special</v>
      </c>
      <c r="D488" s="472"/>
      <c r="E488" s="472"/>
      <c r="F488" s="472"/>
      <c r="G488" s="472"/>
      <c r="H488" s="472"/>
      <c r="I488" s="473"/>
      <c r="J488" s="81"/>
      <c r="K488" s="474" t="s">
        <v>235</v>
      </c>
      <c r="L488" s="474"/>
      <c r="M488" s="475"/>
      <c r="N488" s="51" t="str">
        <f>IF($P$33&gt;=14,14,"")</f>
        <v/>
      </c>
      <c r="O488" s="62" t="s">
        <v>52</v>
      </c>
      <c r="P488" s="51" t="str">
        <f>IF($P$33&gt;=14,$P$33,"")</f>
        <v/>
      </c>
      <c r="Q488" s="63"/>
      <c r="R488" s="64"/>
    </row>
    <row r="489" spans="1:18" ht="12" customHeight="1" x14ac:dyDescent="0.2">
      <c r="A489" s="83"/>
      <c r="B489" s="470"/>
      <c r="C489" s="476" t="str">
        <f>IF(CODE(B488)=89,"Announcements and Bulletins from RAD Canada","Announcements and Bulletins from RAD Canada")</f>
        <v>Announcements and Bulletins from RAD Canada</v>
      </c>
      <c r="D489" s="477"/>
      <c r="E489" s="477"/>
      <c r="F489" s="477"/>
      <c r="G489" s="477"/>
      <c r="H489" s="477"/>
      <c r="I489" s="478"/>
      <c r="J489" s="479"/>
      <c r="K489" s="400"/>
      <c r="L489" s="400"/>
      <c r="M489" s="400"/>
      <c r="N489" s="400"/>
      <c r="O489" s="400"/>
      <c r="P489" s="400"/>
      <c r="Q489" s="63"/>
      <c r="R489" s="64"/>
    </row>
    <row r="490" spans="1:18" x14ac:dyDescent="0.2">
      <c r="A490" s="83"/>
      <c r="B490" s="400"/>
      <c r="C490" s="400"/>
      <c r="D490" s="400"/>
      <c r="E490" s="400"/>
      <c r="F490" s="400"/>
      <c r="G490" s="400"/>
      <c r="H490" s="400"/>
      <c r="I490" s="400"/>
      <c r="J490" s="400"/>
      <c r="K490" s="400"/>
      <c r="L490" s="400"/>
      <c r="M490" s="400"/>
      <c r="N490" s="400"/>
      <c r="O490" s="400"/>
      <c r="P490" s="400"/>
      <c r="Q490" s="63"/>
      <c r="R490" s="64"/>
    </row>
    <row r="491" spans="1:18" x14ac:dyDescent="0.2">
      <c r="A491" s="83"/>
      <c r="B491" s="62"/>
      <c r="C491" s="62"/>
      <c r="D491" s="62"/>
      <c r="E491" s="62"/>
      <c r="F491" s="62"/>
      <c r="G491" s="62"/>
      <c r="H491" s="62"/>
      <c r="I491" s="62"/>
      <c r="J491" s="62"/>
      <c r="K491" s="62"/>
      <c r="L491" s="62"/>
      <c r="M491" s="62"/>
      <c r="N491" s="62"/>
      <c r="O491" s="62"/>
      <c r="P491" s="62"/>
      <c r="Q491" s="63"/>
      <c r="R491" s="64"/>
    </row>
    <row r="492" spans="1:18" x14ac:dyDescent="0.2">
      <c r="A492" s="83"/>
      <c r="B492" s="401" t="s">
        <v>281</v>
      </c>
      <c r="C492" s="402"/>
      <c r="D492" s="402"/>
      <c r="E492" s="402"/>
      <c r="F492" s="402"/>
      <c r="G492" s="402"/>
      <c r="H492" s="62"/>
      <c r="I492" s="62"/>
      <c r="J492" s="62"/>
      <c r="K492" s="62"/>
      <c r="L492" s="62"/>
      <c r="M492" s="62"/>
      <c r="N492" s="62"/>
      <c r="O492" s="62"/>
      <c r="P492" s="62"/>
      <c r="Q492" s="63"/>
      <c r="R492" s="64"/>
    </row>
    <row r="493" spans="1:18" ht="15.75" x14ac:dyDescent="0.25">
      <c r="A493" s="83"/>
      <c r="B493" s="402"/>
      <c r="C493" s="402"/>
      <c r="D493" s="402"/>
      <c r="E493" s="402"/>
      <c r="F493" s="402"/>
      <c r="G493" s="402"/>
      <c r="H493" s="82"/>
      <c r="I493" s="403"/>
      <c r="J493" s="403"/>
      <c r="K493" s="403"/>
      <c r="L493" s="403"/>
      <c r="M493" s="403"/>
      <c r="N493" s="403"/>
      <c r="O493" s="403"/>
      <c r="P493" s="403"/>
      <c r="Q493" s="63"/>
      <c r="R493" s="64"/>
    </row>
    <row r="494" spans="1:18" x14ac:dyDescent="0.2">
      <c r="A494" s="83"/>
      <c r="B494" s="400"/>
      <c r="C494" s="400"/>
      <c r="D494" s="400"/>
      <c r="E494" s="400"/>
      <c r="F494" s="400"/>
      <c r="G494" s="400"/>
      <c r="H494" s="400"/>
      <c r="I494" s="400"/>
      <c r="J494" s="400"/>
      <c r="K494" s="400"/>
      <c r="L494" s="400"/>
      <c r="M494" s="403"/>
      <c r="N494" s="403"/>
      <c r="O494" s="403"/>
      <c r="P494" s="403"/>
      <c r="Q494" s="63"/>
      <c r="R494" s="64"/>
    </row>
    <row r="495" spans="1:18" x14ac:dyDescent="0.2">
      <c r="A495" s="83"/>
      <c r="B495" s="404" t="s">
        <v>260</v>
      </c>
      <c r="C495" s="404"/>
      <c r="D495" s="404"/>
      <c r="E495" s="404"/>
      <c r="F495" s="400"/>
      <c r="G495" s="400"/>
      <c r="H495" s="400"/>
      <c r="I495" s="400"/>
      <c r="J495" s="400"/>
      <c r="K495" s="400"/>
      <c r="L495" s="400"/>
      <c r="M495" s="403"/>
      <c r="N495" s="403"/>
      <c r="O495" s="403"/>
      <c r="P495" s="403"/>
      <c r="Q495" s="63"/>
      <c r="R495" s="64"/>
    </row>
    <row r="496" spans="1:18" x14ac:dyDescent="0.2">
      <c r="A496" s="83"/>
      <c r="B496" s="69"/>
      <c r="C496" s="324" t="s">
        <v>75</v>
      </c>
      <c r="D496" s="408"/>
      <c r="E496" s="409"/>
      <c r="F496" s="400"/>
      <c r="G496" s="400"/>
      <c r="H496" s="400"/>
      <c r="I496" s="400"/>
      <c r="J496" s="400"/>
      <c r="K496" s="400"/>
      <c r="L496" s="400"/>
      <c r="M496" s="70"/>
      <c r="N496" s="70"/>
      <c r="O496" s="70"/>
      <c r="P496" s="70"/>
      <c r="Q496" s="63"/>
      <c r="R496" s="64"/>
    </row>
    <row r="497" spans="1:20" x14ac:dyDescent="0.2">
      <c r="A497" s="83"/>
      <c r="B497" s="71"/>
      <c r="C497" s="324" t="s">
        <v>128</v>
      </c>
      <c r="D497" s="408"/>
      <c r="E497" s="409"/>
      <c r="F497" s="400"/>
      <c r="G497" s="400"/>
      <c r="H497" s="400"/>
      <c r="I497" s="400"/>
      <c r="J497" s="400"/>
      <c r="K497" s="400"/>
      <c r="L497" s="400"/>
      <c r="M497" s="407" t="s">
        <v>256</v>
      </c>
      <c r="N497" s="407"/>
      <c r="O497" s="407"/>
      <c r="P497" s="407"/>
      <c r="Q497" s="63"/>
      <c r="R497" s="64"/>
    </row>
    <row r="498" spans="1:20" x14ac:dyDescent="0.2">
      <c r="A498" s="83"/>
      <c r="B498" s="56"/>
      <c r="C498" s="324" t="s">
        <v>282</v>
      </c>
      <c r="D498" s="408"/>
      <c r="E498" s="409"/>
      <c r="F498" s="400"/>
      <c r="G498" s="400"/>
      <c r="H498" s="400"/>
      <c r="I498" s="400"/>
      <c r="J498" s="400"/>
      <c r="K498" s="400"/>
      <c r="L498" s="400"/>
      <c r="M498" s="407"/>
      <c r="N498" s="407"/>
      <c r="O498" s="407"/>
      <c r="P498" s="407"/>
      <c r="Q498" s="63"/>
      <c r="R498" s="64"/>
    </row>
    <row r="499" spans="1:20" x14ac:dyDescent="0.2">
      <c r="A499" s="83"/>
      <c r="B499" s="520"/>
      <c r="C499" s="520"/>
      <c r="D499" s="520"/>
      <c r="E499" s="520"/>
      <c r="F499" s="520"/>
      <c r="G499" s="520"/>
      <c r="H499" s="520"/>
      <c r="I499" s="520"/>
      <c r="J499" s="520"/>
      <c r="K499" s="520"/>
      <c r="L499" s="520"/>
      <c r="M499" s="520"/>
      <c r="N499" s="520"/>
      <c r="O499" s="520"/>
      <c r="P499" s="520"/>
      <c r="Q499" s="63"/>
      <c r="R499" s="64"/>
    </row>
    <row r="500" spans="1:20" x14ac:dyDescent="0.2">
      <c r="A500" s="83"/>
      <c r="B500" s="432" t="s">
        <v>117</v>
      </c>
      <c r="C500" s="433"/>
      <c r="D500" s="434"/>
      <c r="E500" s="442" t="str">
        <f>IF(AND($P$33&gt;=15,NOT(ISBLANK($E$10))),$E$10,"")</f>
        <v/>
      </c>
      <c r="F500" s="443"/>
      <c r="G500" s="444"/>
      <c r="H500" s="414" t="s">
        <v>124</v>
      </c>
      <c r="I500" s="415"/>
      <c r="J500" s="442" t="str">
        <f>IF(AND($P$33&gt;=15,NOT(ISBLANK($J$10))),$J$10,"")</f>
        <v/>
      </c>
      <c r="K500" s="443"/>
      <c r="L500" s="444"/>
      <c r="M500" s="414" t="s">
        <v>118</v>
      </c>
      <c r="N500" s="415"/>
      <c r="O500" s="430" t="str">
        <f>IF(AND($P$33&gt;=15,NOT(ISBLANK($O$10))),$O$10,"")</f>
        <v/>
      </c>
      <c r="P500" s="521"/>
      <c r="Q500" s="63"/>
      <c r="R500" s="545" t="s">
        <v>307</v>
      </c>
      <c r="S500" s="546"/>
      <c r="T500" s="547"/>
    </row>
    <row r="501" spans="1:20" x14ac:dyDescent="0.2">
      <c r="A501" s="83"/>
      <c r="B501" s="432" t="s">
        <v>240</v>
      </c>
      <c r="C501" s="433"/>
      <c r="D501" s="434"/>
      <c r="E501" s="435" t="str">
        <f>IF(NOT($N523=15),"",IF(ISERROR(LOOKUP(15,'Teacher Summary Sheet'!$M$19:$M$181)),"",IF(VLOOKUP(15,'Teacher Summary Sheet'!$M$19:$R$181,2)=0,"",VLOOKUP(15,'Teacher Summary Sheet'!$M$19:$R$181,2))))</f>
        <v/>
      </c>
      <c r="F501" s="436"/>
      <c r="G501" s="437"/>
      <c r="H501" s="438" t="s">
        <v>119</v>
      </c>
      <c r="I501" s="439"/>
      <c r="J501" s="102" t="str">
        <f>IF(NOT($N523=15),"",IF(ISERROR(LOOKUP(15,'Teacher Summary Sheet'!$M$19:$M$181)),"",IF(VLOOKUP(15,'Teacher Summary Sheet'!$M$19:$R$181,6)=0,"",VLOOKUP(15,'Teacher Summary Sheet'!$M$19:$R$181,6))))</f>
        <v/>
      </c>
      <c r="K501" s="414" t="s">
        <v>179</v>
      </c>
      <c r="L501" s="419"/>
      <c r="M501" s="415"/>
      <c r="N501" s="412" t="str">
        <f>IF(NOT($N523=15),"",IF(ISERROR(LOOKUP(15,'Teacher Summary Sheet'!$M$19:$M$181)),"",IF('Teacher Summary Sheet'!$F$31=0,"",'Teacher Summary Sheet'!$F$31)))</f>
        <v/>
      </c>
      <c r="O501" s="440"/>
      <c r="P501" s="413"/>
      <c r="Q501" s="63"/>
      <c r="R501" s="548"/>
      <c r="S501" s="549"/>
      <c r="T501" s="550"/>
    </row>
    <row r="502" spans="1:20" ht="14.25" x14ac:dyDescent="0.2">
      <c r="A502" s="83"/>
      <c r="B502" s="410" t="s">
        <v>241</v>
      </c>
      <c r="C502" s="420"/>
      <c r="D502" s="411"/>
      <c r="E502" s="421" t="str">
        <f>IF(NOT($N523=15),"",IF(ISERROR(LOOKUP(15,'Teacher Summary Sheet'!$M$19:$M$181)),"",IF(VLOOKUP(15,'Teacher Summary Sheet'!$M$19:$R$181,3)=0,"",VLOOKUP(15,'Teacher Summary Sheet'!$M$19:$R$181,3))))</f>
        <v/>
      </c>
      <c r="F502" s="422"/>
      <c r="G502" s="422"/>
      <c r="H502" s="422"/>
      <c r="I502" s="423"/>
      <c r="J502" s="414" t="s">
        <v>124</v>
      </c>
      <c r="K502" s="415"/>
      <c r="L502" s="424" t="str">
        <f>IF(NOT($N523=15),"",IF(ISERROR(LOOKUP(15,'Teacher Summary Sheet'!$M$19:$M$181)),"",IF(VLOOKUP(15,'Teacher Summary Sheet'!$M$19:$R$181,4)=0,"",VLOOKUP(15,'Teacher Summary Sheet'!$M$19:$R$181,4))))</f>
        <v/>
      </c>
      <c r="M502" s="425"/>
      <c r="N502" s="425"/>
      <c r="O502" s="425"/>
      <c r="P502" s="426"/>
      <c r="Q502" s="63"/>
      <c r="R502" s="125" t="str">
        <f>IF(NOT(N523=15),"",IF(COUNTIF(R504:R510,"P")=7,"P","O"))</f>
        <v/>
      </c>
      <c r="S502" s="110" t="str">
        <f>IF(NOT(N523=15),"",IF(COUNTIF(R504:R510,"P")=7,"Complete","Incomplete"))</f>
        <v/>
      </c>
      <c r="T502" s="111"/>
    </row>
    <row r="503" spans="1:20" x14ac:dyDescent="0.2">
      <c r="A503" s="83"/>
      <c r="B503" s="410" t="s">
        <v>120</v>
      </c>
      <c r="C503" s="420"/>
      <c r="D503" s="411"/>
      <c r="E503" s="427"/>
      <c r="F503" s="428"/>
      <c r="G503" s="428"/>
      <c r="H503" s="428"/>
      <c r="I503" s="428"/>
      <c r="J503" s="429"/>
      <c r="K503" s="62" t="s">
        <v>121</v>
      </c>
      <c r="L503" s="427"/>
      <c r="M503" s="428"/>
      <c r="N503" s="428"/>
      <c r="O503" s="428"/>
      <c r="P503" s="429"/>
      <c r="Q503" s="63"/>
    </row>
    <row r="504" spans="1:20" ht="14.25" x14ac:dyDescent="0.2">
      <c r="A504" s="83"/>
      <c r="B504" s="410" t="s">
        <v>196</v>
      </c>
      <c r="C504" s="420"/>
      <c r="D504" s="411"/>
      <c r="E504" s="427"/>
      <c r="F504" s="428"/>
      <c r="G504" s="428"/>
      <c r="H504" s="428"/>
      <c r="I504" s="429"/>
      <c r="J504" s="73" t="s">
        <v>197</v>
      </c>
      <c r="K504" s="405"/>
      <c r="L504" s="406"/>
      <c r="M504" s="414" t="s">
        <v>212</v>
      </c>
      <c r="N504" s="415"/>
      <c r="O504" s="405"/>
      <c r="P504" s="406"/>
      <c r="Q504" s="63"/>
      <c r="R504" s="124" t="str">
        <f>IF(NOT(N523=15),"",IF(OR(COUNTBLANK(E502:E502)=1,COUNTBLANK(L502:L502)=1),"O","P"))</f>
        <v/>
      </c>
      <c r="S504" s="108" t="str">
        <f>IF(NOT(N523=15),"","Candidate Name")</f>
        <v/>
      </c>
      <c r="T504" s="64"/>
    </row>
    <row r="505" spans="1:20" ht="14.25" x14ac:dyDescent="0.2">
      <c r="A505" s="83"/>
      <c r="B505" s="410" t="s">
        <v>198</v>
      </c>
      <c r="C505" s="420"/>
      <c r="D505" s="411"/>
      <c r="E505" s="454"/>
      <c r="F505" s="455"/>
      <c r="G505" s="455"/>
      <c r="H505" s="456"/>
      <c r="I505" s="74" t="s">
        <v>199</v>
      </c>
      <c r="J505" s="427"/>
      <c r="K505" s="428"/>
      <c r="L505" s="428"/>
      <c r="M505" s="428"/>
      <c r="N505" s="428"/>
      <c r="O505" s="428"/>
      <c r="P505" s="429"/>
      <c r="Q505" s="63"/>
      <c r="R505" s="124" t="str">
        <f>IF(NOT(N523=15),"",IF(COUNTBLANK(E501:E501)=1,"O","P"))</f>
        <v/>
      </c>
      <c r="S505" s="108" t="str">
        <f>IF(NOT(N523=15),"","Candidate ID")</f>
        <v/>
      </c>
      <c r="T505" s="64"/>
    </row>
    <row r="506" spans="1:20" ht="14.25" x14ac:dyDescent="0.2">
      <c r="A506" s="83"/>
      <c r="B506" s="410" t="s">
        <v>227</v>
      </c>
      <c r="C506" s="420"/>
      <c r="D506" s="411"/>
      <c r="E506" s="75" t="s">
        <v>218</v>
      </c>
      <c r="F506" s="405"/>
      <c r="G506" s="448"/>
      <c r="H506" s="75" t="s">
        <v>138</v>
      </c>
      <c r="I506" s="449"/>
      <c r="J506" s="450"/>
      <c r="K506" s="76" t="s">
        <v>139</v>
      </c>
      <c r="L506" s="451"/>
      <c r="M506" s="452"/>
      <c r="N506" s="76" t="s">
        <v>228</v>
      </c>
      <c r="O506" s="453" t="str">
        <f ca="1">IF(OR(ISBLANK(L506),ISBLANK(I506),ISBLANK(F506),COUNTBLANK(J501:J501)=1),"",IF(DATEDIF(DATE(L506,VLOOKUP(I506,data!$T$2:$U$13,2,FALSE),F506),IF(AND(TODAY()&lt;data!$AJ$12,TODAY()&gt;data!$AI$12),data!$AI$3,data!$AJ$3),"Y")&gt;=data!$AC$17,YEAR(TODAY())-L506,data!$AD$3))</f>
        <v/>
      </c>
      <c r="P506" s="413"/>
      <c r="Q506" s="63"/>
      <c r="R506" s="124" t="str">
        <f>IF(NOT(N523=15),"",IF(OR(ISBLANK(E503),ISBLANK(L503),ISBLANK(K504),ISBLANK(O504)),"O","P"))</f>
        <v/>
      </c>
      <c r="S506" s="108" t="str">
        <f>IF(NOT(N523=15),"","Address")</f>
        <v/>
      </c>
      <c r="T506" s="64"/>
    </row>
    <row r="507" spans="1:20" ht="15" thickBot="1" x14ac:dyDescent="0.25">
      <c r="A507" s="83"/>
      <c r="B507" s="410" t="s">
        <v>214</v>
      </c>
      <c r="C507" s="411"/>
      <c r="D507" s="412" t="str">
        <f>IF(NOT($N523=15),"",IF(ISERROR(LOOKUP(15,'Teacher Summary Sheet'!$M$19:$M$181)),"",IF(VLOOKUP(15,'Teacher Summary Sheet'!$M$19:$R$181,5)=0,"",VLOOKUP(15,'Teacher Summary Sheet'!$M$19:$R$181,5))))</f>
        <v/>
      </c>
      <c r="E507" s="413"/>
      <c r="F507" s="414" t="s">
        <v>319</v>
      </c>
      <c r="G507" s="415"/>
      <c r="H507" s="416"/>
      <c r="I507" s="417"/>
      <c r="J507" s="418"/>
      <c r="K507" s="414" t="s">
        <v>320</v>
      </c>
      <c r="L507" s="419"/>
      <c r="M507" s="419"/>
      <c r="N507" s="415"/>
      <c r="O507" s="405" t="s">
        <v>268</v>
      </c>
      <c r="P507" s="406"/>
      <c r="Q507" s="63"/>
      <c r="R507" s="124" t="str">
        <f>IF(NOT(N523=15),"",IF(OR(ISBLANK(F506),ISBLANK(I506),ISBLANK(L506)),"O","P"))</f>
        <v/>
      </c>
      <c r="S507" s="108" t="str">
        <f>IF(NOT(N523=15),"","Date of Birth")</f>
        <v/>
      </c>
      <c r="T507" s="64"/>
    </row>
    <row r="508" spans="1:20" ht="14.25" x14ac:dyDescent="0.2">
      <c r="A508" s="83"/>
      <c r="B508" s="522" t="s">
        <v>297</v>
      </c>
      <c r="C508" s="463"/>
      <c r="D508" s="463"/>
      <c r="E508" s="463"/>
      <c r="F508" s="463"/>
      <c r="G508" s="463"/>
      <c r="H508" s="463"/>
      <c r="I508" s="463"/>
      <c r="J508" s="463"/>
      <c r="K508" s="463"/>
      <c r="L508" s="463"/>
      <c r="M508" s="463"/>
      <c r="N508" s="463"/>
      <c r="O508" s="463"/>
      <c r="P508" s="464"/>
      <c r="Q508" s="63"/>
      <c r="R508" s="124" t="str">
        <f>IF(NOT(N523=15),"",IF(COUNTBLANK(J501:J501)=1,"O","P"))</f>
        <v/>
      </c>
      <c r="S508" s="112" t="str">
        <f>IF(NOT(N523=15),"","Exam Level")</f>
        <v/>
      </c>
      <c r="T508" s="64"/>
    </row>
    <row r="509" spans="1:20" ht="14.25" x14ac:dyDescent="0.2">
      <c r="A509" s="83"/>
      <c r="B509" s="465"/>
      <c r="C509" s="466"/>
      <c r="D509" s="466"/>
      <c r="E509" s="466"/>
      <c r="F509" s="466"/>
      <c r="G509" s="466"/>
      <c r="H509" s="466"/>
      <c r="I509" s="466"/>
      <c r="J509" s="466"/>
      <c r="K509" s="466"/>
      <c r="L509" s="466"/>
      <c r="M509" s="466"/>
      <c r="N509" s="466"/>
      <c r="O509" s="466"/>
      <c r="P509" s="467"/>
      <c r="Q509" s="63"/>
      <c r="R509" s="124" t="str">
        <f>IF(NOT(N523=15),"",IF(COUNTBLANK(D507:D507)=1,"O","P"))</f>
        <v/>
      </c>
      <c r="S509" s="109" t="str">
        <f>IF(NOT(N523=15),"","Gender")</f>
        <v/>
      </c>
      <c r="T509" s="64"/>
    </row>
    <row r="510" spans="1:20" ht="14.25" x14ac:dyDescent="0.2">
      <c r="A510" s="83"/>
      <c r="B510" s="432" t="s">
        <v>298</v>
      </c>
      <c r="C510" s="433"/>
      <c r="D510" s="434"/>
      <c r="E510" s="405"/>
      <c r="F510" s="406"/>
      <c r="G510" s="432" t="s">
        <v>299</v>
      </c>
      <c r="H510" s="433"/>
      <c r="I510" s="434"/>
      <c r="J510" s="405"/>
      <c r="K510" s="448"/>
      <c r="L510" s="406"/>
      <c r="M510" s="414" t="s">
        <v>300</v>
      </c>
      <c r="N510" s="415"/>
      <c r="O510" s="457"/>
      <c r="P510" s="458"/>
      <c r="Q510" s="63"/>
      <c r="R510" s="124" t="str">
        <f>IF(NOT(N523=15),"",IF(ISBLANK(H507),"O","P"))</f>
        <v/>
      </c>
      <c r="S510" s="109" t="str">
        <f>IF(NOT(N523=15),"","Height")</f>
        <v/>
      </c>
      <c r="T510" s="64"/>
    </row>
    <row r="511" spans="1:20" x14ac:dyDescent="0.2">
      <c r="A511" s="83"/>
      <c r="B511" s="77" t="s">
        <v>153</v>
      </c>
      <c r="C511" s="405"/>
      <c r="D511" s="406"/>
      <c r="E511" s="414" t="s">
        <v>301</v>
      </c>
      <c r="F511" s="415"/>
      <c r="G511" s="459"/>
      <c r="H511" s="460"/>
      <c r="I511" s="461"/>
      <c r="J511" s="414" t="s">
        <v>302</v>
      </c>
      <c r="K511" s="415"/>
      <c r="L511" s="454"/>
      <c r="M511" s="455"/>
      <c r="N511" s="455"/>
      <c r="O511" s="455"/>
      <c r="P511" s="456"/>
      <c r="Q511" s="63"/>
      <c r="R511" s="64"/>
      <c r="S511" s="64"/>
      <c r="T511" s="64"/>
    </row>
    <row r="512" spans="1:20" x14ac:dyDescent="0.2">
      <c r="A512" s="83"/>
      <c r="B512" s="410" t="s">
        <v>116</v>
      </c>
      <c r="C512" s="420"/>
      <c r="D512" s="420"/>
      <c r="E512" s="420"/>
      <c r="F512" s="420"/>
      <c r="G512" s="420"/>
      <c r="H512" s="420"/>
      <c r="I512" s="420"/>
      <c r="J512" s="420"/>
      <c r="K512" s="420"/>
      <c r="L512" s="420"/>
      <c r="M512" s="420"/>
      <c r="N512" s="420"/>
      <c r="O512" s="420"/>
      <c r="P512" s="411"/>
      <c r="Q512" s="63"/>
      <c r="R512" s="64"/>
      <c r="S512" s="64"/>
      <c r="T512" s="64"/>
    </row>
    <row r="513" spans="1:18" x14ac:dyDescent="0.2">
      <c r="A513" s="83"/>
      <c r="B513" s="410" t="s">
        <v>298</v>
      </c>
      <c r="C513" s="420"/>
      <c r="D513" s="411"/>
      <c r="E513" s="405"/>
      <c r="F513" s="406"/>
      <c r="G513" s="410" t="s">
        <v>299</v>
      </c>
      <c r="H513" s="420"/>
      <c r="I513" s="411"/>
      <c r="J513" s="454"/>
      <c r="K513" s="455"/>
      <c r="L513" s="456"/>
      <c r="M513" s="414" t="s">
        <v>300</v>
      </c>
      <c r="N513" s="415"/>
      <c r="O513" s="457"/>
      <c r="P513" s="458"/>
      <c r="Q513" s="63"/>
      <c r="R513" s="64"/>
    </row>
    <row r="514" spans="1:18" ht="13.5" thickBot="1" x14ac:dyDescent="0.25">
      <c r="A514" s="83"/>
      <c r="B514" s="78" t="s">
        <v>153</v>
      </c>
      <c r="C514" s="492"/>
      <c r="D514" s="493"/>
      <c r="E514" s="494" t="s">
        <v>301</v>
      </c>
      <c r="F514" s="495"/>
      <c r="G514" s="496"/>
      <c r="H514" s="497"/>
      <c r="I514" s="498"/>
      <c r="J514" s="414" t="s">
        <v>302</v>
      </c>
      <c r="K514" s="415"/>
      <c r="L514" s="454"/>
      <c r="M514" s="455"/>
      <c r="N514" s="455"/>
      <c r="O514" s="455"/>
      <c r="P514" s="456"/>
      <c r="Q514" s="63"/>
      <c r="R514" s="64"/>
    </row>
    <row r="515" spans="1:18" x14ac:dyDescent="0.2">
      <c r="A515" s="83"/>
      <c r="B515" s="499" t="s">
        <v>126</v>
      </c>
      <c r="C515" s="500"/>
      <c r="D515" s="500"/>
      <c r="E515" s="500"/>
      <c r="F515" s="500"/>
      <c r="G515" s="500"/>
      <c r="H515" s="500"/>
      <c r="I515" s="501"/>
      <c r="J515" s="505"/>
      <c r="K515" s="506"/>
      <c r="L515" s="506"/>
      <c r="M515" s="506"/>
      <c r="N515" s="506"/>
      <c r="O515" s="506"/>
      <c r="P515" s="507"/>
      <c r="Q515" s="63"/>
      <c r="R515" s="64"/>
    </row>
    <row r="516" spans="1:18" x14ac:dyDescent="0.2">
      <c r="A516" s="83"/>
      <c r="B516" s="502"/>
      <c r="C516" s="503"/>
      <c r="D516" s="503"/>
      <c r="E516" s="503"/>
      <c r="F516" s="503"/>
      <c r="G516" s="503"/>
      <c r="H516" s="503"/>
      <c r="I516" s="504"/>
      <c r="J516" s="508"/>
      <c r="K516" s="509"/>
      <c r="L516" s="509"/>
      <c r="M516" s="509"/>
      <c r="N516" s="509"/>
      <c r="O516" s="509"/>
      <c r="P516" s="510"/>
      <c r="Q516" s="63"/>
      <c r="R516" s="64"/>
    </row>
    <row r="517" spans="1:18" x14ac:dyDescent="0.2">
      <c r="A517" s="83"/>
      <c r="B517" s="514" t="s">
        <v>127</v>
      </c>
      <c r="C517" s="515"/>
      <c r="D517" s="515"/>
      <c r="E517" s="515"/>
      <c r="F517" s="515"/>
      <c r="G517" s="515"/>
      <c r="H517" s="515"/>
      <c r="I517" s="516"/>
      <c r="J517" s="508"/>
      <c r="K517" s="509"/>
      <c r="L517" s="509"/>
      <c r="M517" s="509"/>
      <c r="N517" s="509"/>
      <c r="O517" s="509"/>
      <c r="P517" s="510"/>
      <c r="Q517" s="63"/>
      <c r="R517" s="64"/>
    </row>
    <row r="518" spans="1:18" ht="13.5" thickBot="1" x14ac:dyDescent="0.25">
      <c r="A518" s="83"/>
      <c r="B518" s="517"/>
      <c r="C518" s="518"/>
      <c r="D518" s="518"/>
      <c r="E518" s="518"/>
      <c r="F518" s="518"/>
      <c r="G518" s="518"/>
      <c r="H518" s="518"/>
      <c r="I518" s="519"/>
      <c r="J518" s="511"/>
      <c r="K518" s="512"/>
      <c r="L518" s="512"/>
      <c r="M518" s="512"/>
      <c r="N518" s="512"/>
      <c r="O518" s="512"/>
      <c r="P518" s="513"/>
      <c r="Q518" s="63"/>
      <c r="R518" s="64"/>
    </row>
    <row r="519" spans="1:18" x14ac:dyDescent="0.2">
      <c r="A519" s="83"/>
      <c r="B519" s="480" t="s">
        <v>10</v>
      </c>
      <c r="C519" s="481"/>
      <c r="D519" s="481"/>
      <c r="E519" s="481"/>
      <c r="F519" s="481"/>
      <c r="G519" s="481"/>
      <c r="H519" s="481"/>
      <c r="I519" s="482"/>
      <c r="J519" s="79">
        <v>1</v>
      </c>
      <c r="K519" s="483"/>
      <c r="L519" s="484"/>
      <c r="M519" s="484"/>
      <c r="N519" s="484"/>
      <c r="O519" s="484"/>
      <c r="P519" s="485"/>
      <c r="Q519" s="63"/>
      <c r="R519" s="64"/>
    </row>
    <row r="520" spans="1:18" x14ac:dyDescent="0.2">
      <c r="A520" s="83"/>
      <c r="B520" s="486" t="s">
        <v>276</v>
      </c>
      <c r="C520" s="487"/>
      <c r="D520" s="487"/>
      <c r="E520" s="487"/>
      <c r="F520" s="487"/>
      <c r="G520" s="487"/>
      <c r="H520" s="487"/>
      <c r="I520" s="488"/>
      <c r="J520" s="80">
        <v>2</v>
      </c>
      <c r="K520" s="454"/>
      <c r="L520" s="455"/>
      <c r="M520" s="455"/>
      <c r="N520" s="455"/>
      <c r="O520" s="455"/>
      <c r="P520" s="456"/>
      <c r="Q520" s="63"/>
      <c r="R520" s="64"/>
    </row>
    <row r="521" spans="1:18" x14ac:dyDescent="0.2">
      <c r="A521" s="83"/>
      <c r="B521" s="489" t="s">
        <v>234</v>
      </c>
      <c r="C521" s="490"/>
      <c r="D521" s="490"/>
      <c r="E521" s="490"/>
      <c r="F521" s="490"/>
      <c r="G521" s="490"/>
      <c r="H521" s="490"/>
      <c r="I521" s="491"/>
      <c r="J521" s="80">
        <v>3</v>
      </c>
      <c r="K521" s="454"/>
      <c r="L521" s="455"/>
      <c r="M521" s="455"/>
      <c r="N521" s="455"/>
      <c r="O521" s="455"/>
      <c r="P521" s="456"/>
      <c r="Q521" s="63"/>
      <c r="R521" s="64"/>
    </row>
    <row r="522" spans="1:18" x14ac:dyDescent="0.2">
      <c r="A522" s="83"/>
      <c r="B522" s="468"/>
      <c r="C522" s="468"/>
      <c r="D522" s="468"/>
      <c r="E522" s="468"/>
      <c r="F522" s="468"/>
      <c r="G522" s="468"/>
      <c r="H522" s="468"/>
      <c r="I522" s="468"/>
      <c r="J522" s="468"/>
      <c r="K522" s="468"/>
      <c r="L522" s="468"/>
      <c r="M522" s="468"/>
      <c r="N522" s="468"/>
      <c r="O522" s="468"/>
      <c r="P522" s="468"/>
      <c r="Q522" s="63"/>
      <c r="R522" s="64"/>
    </row>
    <row r="523" spans="1:18" ht="12" customHeight="1" x14ac:dyDescent="0.2">
      <c r="A523" s="83"/>
      <c r="B523" s="469" t="s">
        <v>84</v>
      </c>
      <c r="C523" s="471" t="str">
        <f>IF(CODE(B523)=89,"This candidate would like to receive Special","This candidate would not like to receive Special")</f>
        <v>This candidate would like to receive Special</v>
      </c>
      <c r="D523" s="472"/>
      <c r="E523" s="472"/>
      <c r="F523" s="472"/>
      <c r="G523" s="472"/>
      <c r="H523" s="472"/>
      <c r="I523" s="473"/>
      <c r="J523" s="81"/>
      <c r="K523" s="474" t="s">
        <v>205</v>
      </c>
      <c r="L523" s="474"/>
      <c r="M523" s="475"/>
      <c r="N523" s="51" t="str">
        <f>IF($P$33&gt;=15,15,"")</f>
        <v/>
      </c>
      <c r="O523" s="62" t="s">
        <v>52</v>
      </c>
      <c r="P523" s="51" t="str">
        <f>IF($P$33&gt;=15,$P$33,"")</f>
        <v/>
      </c>
      <c r="Q523" s="63"/>
      <c r="R523" s="64"/>
    </row>
    <row r="524" spans="1:18" ht="12" customHeight="1" x14ac:dyDescent="0.2">
      <c r="A524" s="83"/>
      <c r="B524" s="470"/>
      <c r="C524" s="476" t="str">
        <f>IF(CODE(B523)=89,"Announcements and Bulletins from RAD Canada","Announcements and Bulletins from RAD Canada")</f>
        <v>Announcements and Bulletins from RAD Canada</v>
      </c>
      <c r="D524" s="477"/>
      <c r="E524" s="477"/>
      <c r="F524" s="477"/>
      <c r="G524" s="477"/>
      <c r="H524" s="477"/>
      <c r="I524" s="478"/>
      <c r="J524" s="479"/>
      <c r="K524" s="400"/>
      <c r="L524" s="400"/>
      <c r="M524" s="400"/>
      <c r="N524" s="400"/>
      <c r="O524" s="400"/>
      <c r="P524" s="400"/>
      <c r="Q524" s="63"/>
      <c r="R524" s="64"/>
    </row>
    <row r="525" spans="1:18" x14ac:dyDescent="0.2">
      <c r="A525" s="83"/>
      <c r="B525" s="400"/>
      <c r="C525" s="400"/>
      <c r="D525" s="400"/>
      <c r="E525" s="400"/>
      <c r="F525" s="400"/>
      <c r="G525" s="400"/>
      <c r="H525" s="400"/>
      <c r="I525" s="400"/>
      <c r="J525" s="400"/>
      <c r="K525" s="400"/>
      <c r="L525" s="400"/>
      <c r="M525" s="400"/>
      <c r="N525" s="400"/>
      <c r="O525" s="400"/>
      <c r="P525" s="400"/>
      <c r="Q525" s="63"/>
      <c r="R525" s="64"/>
    </row>
    <row r="526" spans="1:18" x14ac:dyDescent="0.2">
      <c r="A526" s="83"/>
      <c r="B526" s="62"/>
      <c r="C526" s="62"/>
      <c r="D526" s="62"/>
      <c r="E526" s="62"/>
      <c r="F526" s="62"/>
      <c r="G526" s="62"/>
      <c r="H526" s="62"/>
      <c r="I526" s="62"/>
      <c r="J526" s="62"/>
      <c r="K526" s="62"/>
      <c r="L526" s="62"/>
      <c r="M526" s="62"/>
      <c r="N526" s="62"/>
      <c r="O526" s="62"/>
      <c r="P526" s="62"/>
      <c r="Q526" s="63"/>
      <c r="R526" s="64"/>
    </row>
    <row r="527" spans="1:18" x14ac:dyDescent="0.2">
      <c r="A527" s="83"/>
      <c r="B527" s="401" t="s">
        <v>233</v>
      </c>
      <c r="C527" s="402"/>
      <c r="D527" s="402"/>
      <c r="E527" s="402"/>
      <c r="F527" s="402"/>
      <c r="G527" s="402"/>
      <c r="H527" s="62"/>
      <c r="I527" s="62"/>
      <c r="J527" s="62"/>
      <c r="K527" s="62"/>
      <c r="L527" s="62"/>
      <c r="M527" s="62"/>
      <c r="N527" s="62"/>
      <c r="O527" s="62"/>
      <c r="P527" s="62"/>
      <c r="Q527" s="63"/>
      <c r="R527" s="64"/>
    </row>
    <row r="528" spans="1:18" ht="15.75" x14ac:dyDescent="0.25">
      <c r="A528" s="83"/>
      <c r="B528" s="402"/>
      <c r="C528" s="402"/>
      <c r="D528" s="402"/>
      <c r="E528" s="402"/>
      <c r="F528" s="402"/>
      <c r="G528" s="402"/>
      <c r="H528" s="82"/>
      <c r="I528" s="403"/>
      <c r="J528" s="403"/>
      <c r="K528" s="403"/>
      <c r="L528" s="403"/>
      <c r="M528" s="403"/>
      <c r="N528" s="403"/>
      <c r="O528" s="403"/>
      <c r="P528" s="403"/>
      <c r="Q528" s="63"/>
      <c r="R528" s="64"/>
    </row>
    <row r="529" spans="1:20" x14ac:dyDescent="0.2">
      <c r="A529" s="83"/>
      <c r="B529" s="400"/>
      <c r="C529" s="400"/>
      <c r="D529" s="400"/>
      <c r="E529" s="400"/>
      <c r="F529" s="400"/>
      <c r="G529" s="400"/>
      <c r="H529" s="400"/>
      <c r="I529" s="400"/>
      <c r="J529" s="400"/>
      <c r="K529" s="400"/>
      <c r="L529" s="400"/>
      <c r="M529" s="403"/>
      <c r="N529" s="403"/>
      <c r="O529" s="403"/>
      <c r="P529" s="403"/>
      <c r="Q529" s="63"/>
      <c r="R529" s="64"/>
    </row>
    <row r="530" spans="1:20" x14ac:dyDescent="0.2">
      <c r="A530" s="83"/>
      <c r="B530" s="404" t="s">
        <v>260</v>
      </c>
      <c r="C530" s="404"/>
      <c r="D530" s="404"/>
      <c r="E530" s="404"/>
      <c r="F530" s="400"/>
      <c r="G530" s="400"/>
      <c r="H530" s="400"/>
      <c r="I530" s="400"/>
      <c r="J530" s="400"/>
      <c r="K530" s="400"/>
      <c r="L530" s="400"/>
      <c r="M530" s="403"/>
      <c r="N530" s="403"/>
      <c r="O530" s="403"/>
      <c r="P530" s="403"/>
      <c r="Q530" s="63"/>
      <c r="R530" s="64"/>
    </row>
    <row r="531" spans="1:20" x14ac:dyDescent="0.2">
      <c r="A531" s="83"/>
      <c r="B531" s="69"/>
      <c r="C531" s="324" t="s">
        <v>75</v>
      </c>
      <c r="D531" s="408"/>
      <c r="E531" s="409"/>
      <c r="F531" s="400"/>
      <c r="G531" s="400"/>
      <c r="H531" s="400"/>
      <c r="I531" s="400"/>
      <c r="J531" s="400"/>
      <c r="K531" s="400"/>
      <c r="L531" s="400"/>
      <c r="M531" s="70"/>
      <c r="N531" s="70"/>
      <c r="O531" s="70"/>
      <c r="P531" s="70"/>
      <c r="Q531" s="63"/>
      <c r="R531" s="64"/>
    </row>
    <row r="532" spans="1:20" x14ac:dyDescent="0.2">
      <c r="A532" s="83"/>
      <c r="B532" s="71"/>
      <c r="C532" s="324" t="s">
        <v>128</v>
      </c>
      <c r="D532" s="408"/>
      <c r="E532" s="409"/>
      <c r="F532" s="400"/>
      <c r="G532" s="400"/>
      <c r="H532" s="400"/>
      <c r="I532" s="400"/>
      <c r="J532" s="400"/>
      <c r="K532" s="400"/>
      <c r="L532" s="400"/>
      <c r="M532" s="407" t="s">
        <v>256</v>
      </c>
      <c r="N532" s="407"/>
      <c r="O532" s="407"/>
      <c r="P532" s="407"/>
      <c r="Q532" s="63"/>
      <c r="R532" s="64"/>
    </row>
    <row r="533" spans="1:20" x14ac:dyDescent="0.2">
      <c r="A533" s="83"/>
      <c r="B533" s="56"/>
      <c r="C533" s="324" t="s">
        <v>275</v>
      </c>
      <c r="D533" s="408"/>
      <c r="E533" s="409"/>
      <c r="F533" s="400"/>
      <c r="G533" s="400"/>
      <c r="H533" s="400"/>
      <c r="I533" s="400"/>
      <c r="J533" s="400"/>
      <c r="K533" s="400"/>
      <c r="L533" s="400"/>
      <c r="M533" s="407"/>
      <c r="N533" s="407"/>
      <c r="O533" s="407"/>
      <c r="P533" s="407"/>
      <c r="Q533" s="63"/>
      <c r="R533" s="64"/>
    </row>
    <row r="534" spans="1:20" x14ac:dyDescent="0.2">
      <c r="A534" s="83"/>
      <c r="B534" s="520"/>
      <c r="C534" s="520"/>
      <c r="D534" s="520"/>
      <c r="E534" s="520"/>
      <c r="F534" s="520"/>
      <c r="G534" s="520"/>
      <c r="H534" s="520"/>
      <c r="I534" s="520"/>
      <c r="J534" s="520"/>
      <c r="K534" s="520"/>
      <c r="L534" s="520"/>
      <c r="M534" s="520"/>
      <c r="N534" s="520"/>
      <c r="O534" s="520"/>
      <c r="P534" s="520"/>
      <c r="Q534" s="63"/>
      <c r="R534" s="64"/>
    </row>
    <row r="535" spans="1:20" x14ac:dyDescent="0.2">
      <c r="A535" s="83"/>
      <c r="B535" s="432" t="s">
        <v>117</v>
      </c>
      <c r="C535" s="433"/>
      <c r="D535" s="434"/>
      <c r="E535" s="442" t="str">
        <f>IF(AND($P$33&gt;=16,NOT(ISBLANK($E$10))),$E$10,"")</f>
        <v/>
      </c>
      <c r="F535" s="443"/>
      <c r="G535" s="444"/>
      <c r="H535" s="414" t="s">
        <v>124</v>
      </c>
      <c r="I535" s="415"/>
      <c r="J535" s="442" t="str">
        <f>IF(AND($P$33&gt;=16,NOT(ISBLANK($J$10))),$J$10,"")</f>
        <v/>
      </c>
      <c r="K535" s="443"/>
      <c r="L535" s="444"/>
      <c r="M535" s="414" t="s">
        <v>118</v>
      </c>
      <c r="N535" s="415"/>
      <c r="O535" s="430" t="str">
        <f>IF(AND($P$33&gt;=16,NOT(ISBLANK($O$10))),$O$10,"")</f>
        <v/>
      </c>
      <c r="P535" s="521"/>
      <c r="Q535" s="63"/>
      <c r="R535" s="545" t="s">
        <v>307</v>
      </c>
      <c r="S535" s="546"/>
      <c r="T535" s="547"/>
    </row>
    <row r="536" spans="1:20" x14ac:dyDescent="0.2">
      <c r="A536" s="83"/>
      <c r="B536" s="432" t="s">
        <v>240</v>
      </c>
      <c r="C536" s="433"/>
      <c r="D536" s="434"/>
      <c r="E536" s="435" t="str">
        <f>IF(NOT($N558=16),"",IF(ISERROR(LOOKUP(16,'Teacher Summary Sheet'!$M$19:$M$181)),"",IF(VLOOKUP(16,'Teacher Summary Sheet'!$M$19:$R$181,2)=0,"",VLOOKUP(16,'Teacher Summary Sheet'!$M$19:$R$181,2))))</f>
        <v/>
      </c>
      <c r="F536" s="436"/>
      <c r="G536" s="437"/>
      <c r="H536" s="438" t="s">
        <v>119</v>
      </c>
      <c r="I536" s="439"/>
      <c r="J536" s="102" t="str">
        <f>IF(NOT($N558=16),"",IF(ISERROR(LOOKUP(16,'Teacher Summary Sheet'!$M$19:$M$181)),"",IF(VLOOKUP(16,'Teacher Summary Sheet'!$M$19:$R$181,6)=0,"",VLOOKUP(16,'Teacher Summary Sheet'!$M$19:$R$181,6))))</f>
        <v/>
      </c>
      <c r="K536" s="414" t="s">
        <v>179</v>
      </c>
      <c r="L536" s="419"/>
      <c r="M536" s="415"/>
      <c r="N536" s="412" t="str">
        <f>IF(NOT($N558=16),"",IF(ISERROR(LOOKUP(16,'Teacher Summary Sheet'!$M$19:$M$181)),"",IF('Teacher Summary Sheet'!$F$31=0,"",'Teacher Summary Sheet'!$F$31)))</f>
        <v/>
      </c>
      <c r="O536" s="440"/>
      <c r="P536" s="413"/>
      <c r="Q536" s="63"/>
      <c r="R536" s="548"/>
      <c r="S536" s="549"/>
      <c r="T536" s="550"/>
    </row>
    <row r="537" spans="1:20" ht="14.25" x14ac:dyDescent="0.2">
      <c r="A537" s="83"/>
      <c r="B537" s="410" t="s">
        <v>241</v>
      </c>
      <c r="C537" s="420"/>
      <c r="D537" s="411"/>
      <c r="E537" s="421" t="str">
        <f>IF(NOT($N558=16),"",IF(ISERROR(LOOKUP(16,'Teacher Summary Sheet'!$M$19:$M$181)),"",IF(VLOOKUP(16,'Teacher Summary Sheet'!$M$19:$R$181,3)=0,"",VLOOKUP(16,'Teacher Summary Sheet'!$M$19:$R$181,3))))</f>
        <v/>
      </c>
      <c r="F537" s="422"/>
      <c r="G537" s="422"/>
      <c r="H537" s="422"/>
      <c r="I537" s="423"/>
      <c r="J537" s="414" t="s">
        <v>124</v>
      </c>
      <c r="K537" s="415"/>
      <c r="L537" s="424" t="str">
        <f>IF(NOT($N558=16),"",IF(ISERROR(LOOKUP(16,'Teacher Summary Sheet'!$M$19:$M$181)),"",IF(VLOOKUP(16,'Teacher Summary Sheet'!$M$19:$R$181,4)=0,"",VLOOKUP(16,'Teacher Summary Sheet'!$M$19:$R$181,4))))</f>
        <v/>
      </c>
      <c r="M537" s="425"/>
      <c r="N537" s="425"/>
      <c r="O537" s="425"/>
      <c r="P537" s="426"/>
      <c r="Q537" s="63"/>
      <c r="R537" s="125" t="str">
        <f>IF(NOT(N558=16),"",IF(COUNTIF(R539:R545,"P")=7,"P","O"))</f>
        <v/>
      </c>
      <c r="S537" s="110" t="str">
        <f>IF(NOT(N558=16),"",IF(COUNTIF(R539:R545,"P")=7,"Complete","Incomplete"))</f>
        <v/>
      </c>
      <c r="T537" s="111"/>
    </row>
    <row r="538" spans="1:20" x14ac:dyDescent="0.2">
      <c r="A538" s="83"/>
      <c r="B538" s="410" t="s">
        <v>120</v>
      </c>
      <c r="C538" s="420"/>
      <c r="D538" s="411"/>
      <c r="E538" s="427"/>
      <c r="F538" s="428"/>
      <c r="G538" s="428"/>
      <c r="H538" s="428"/>
      <c r="I538" s="428"/>
      <c r="J538" s="429"/>
      <c r="K538" s="62" t="s">
        <v>121</v>
      </c>
      <c r="L538" s="427"/>
      <c r="M538" s="428"/>
      <c r="N538" s="428"/>
      <c r="O538" s="428"/>
      <c r="P538" s="429"/>
      <c r="Q538" s="63"/>
    </row>
    <row r="539" spans="1:20" ht="14.25" x14ac:dyDescent="0.2">
      <c r="A539" s="83"/>
      <c r="B539" s="410" t="s">
        <v>196</v>
      </c>
      <c r="C539" s="420"/>
      <c r="D539" s="411"/>
      <c r="E539" s="427"/>
      <c r="F539" s="428"/>
      <c r="G539" s="428"/>
      <c r="H539" s="428"/>
      <c r="I539" s="429"/>
      <c r="J539" s="73" t="s">
        <v>197</v>
      </c>
      <c r="K539" s="405"/>
      <c r="L539" s="406"/>
      <c r="M539" s="414" t="s">
        <v>212</v>
      </c>
      <c r="N539" s="415"/>
      <c r="O539" s="405"/>
      <c r="P539" s="406"/>
      <c r="Q539" s="63"/>
      <c r="R539" s="124" t="str">
        <f>IF(NOT(N558=16),"",IF(OR(COUNTBLANK(E537:E537)=1,COUNTBLANK(L537:L537)=1),"O","P"))</f>
        <v/>
      </c>
      <c r="S539" s="108" t="str">
        <f>IF(NOT(N558=16),"","Candidate Name")</f>
        <v/>
      </c>
      <c r="T539" s="64"/>
    </row>
    <row r="540" spans="1:20" ht="14.25" x14ac:dyDescent="0.2">
      <c r="A540" s="83"/>
      <c r="B540" s="410" t="s">
        <v>198</v>
      </c>
      <c r="C540" s="420"/>
      <c r="D540" s="411"/>
      <c r="E540" s="454"/>
      <c r="F540" s="455"/>
      <c r="G540" s="455"/>
      <c r="H540" s="456"/>
      <c r="I540" s="74" t="s">
        <v>199</v>
      </c>
      <c r="J540" s="427"/>
      <c r="K540" s="428"/>
      <c r="L540" s="428"/>
      <c r="M540" s="428"/>
      <c r="N540" s="428"/>
      <c r="O540" s="428"/>
      <c r="P540" s="429"/>
      <c r="Q540" s="63"/>
      <c r="R540" s="124" t="str">
        <f>IF(NOT(N558=16),"",IF(COUNTBLANK(E536:E536)=1,"O","P"))</f>
        <v/>
      </c>
      <c r="S540" s="108" t="str">
        <f>IF(NOT(N558=16),"","Candidate ID")</f>
        <v/>
      </c>
      <c r="T540" s="64"/>
    </row>
    <row r="541" spans="1:20" ht="14.25" x14ac:dyDescent="0.2">
      <c r="A541" s="83"/>
      <c r="B541" s="410" t="s">
        <v>227</v>
      </c>
      <c r="C541" s="420"/>
      <c r="D541" s="411"/>
      <c r="E541" s="75" t="s">
        <v>218</v>
      </c>
      <c r="F541" s="405"/>
      <c r="G541" s="448"/>
      <c r="H541" s="75" t="s">
        <v>138</v>
      </c>
      <c r="I541" s="449"/>
      <c r="J541" s="450"/>
      <c r="K541" s="76" t="s">
        <v>139</v>
      </c>
      <c r="L541" s="451"/>
      <c r="M541" s="452"/>
      <c r="N541" s="76" t="s">
        <v>228</v>
      </c>
      <c r="O541" s="453" t="str">
        <f ca="1">IF(OR(ISBLANK(L541),ISBLANK(I541),ISBLANK(F541),COUNTBLANK(J536:J536)=1),"",IF(DATEDIF(DATE(L541,VLOOKUP(I541,data!$T$2:$U$13,2,FALSE),F541),IF(AND(TODAY()&lt;data!$AJ$12,TODAY()&gt;data!$AI$12),data!$AI$3,data!$AJ$3),"Y")&gt;=data!$AC$18,YEAR(TODAY())-L541,data!$AD$3))</f>
        <v/>
      </c>
      <c r="P541" s="413"/>
      <c r="Q541" s="63"/>
      <c r="R541" s="124" t="str">
        <f>IF(NOT(N558=16),"",IF(OR(ISBLANK(E538),ISBLANK(L538),ISBLANK(K539),ISBLANK(O539)),"O","P"))</f>
        <v/>
      </c>
      <c r="S541" s="108" t="str">
        <f>IF(NOT(N558=16),"","Address")</f>
        <v/>
      </c>
      <c r="T541" s="64"/>
    </row>
    <row r="542" spans="1:20" ht="15" thickBot="1" x14ac:dyDescent="0.25">
      <c r="A542" s="83"/>
      <c r="B542" s="410" t="s">
        <v>214</v>
      </c>
      <c r="C542" s="411"/>
      <c r="D542" s="412" t="str">
        <f>IF(NOT($N558=16),"",IF(ISERROR(LOOKUP(16,'Teacher Summary Sheet'!$M$19:$M$181)),"",IF(VLOOKUP(16,'Teacher Summary Sheet'!$M$19:$R$181,5)=0,"",VLOOKUP(16,'Teacher Summary Sheet'!$M$19:$R$181,5))))</f>
        <v/>
      </c>
      <c r="E542" s="413"/>
      <c r="F542" s="414" t="s">
        <v>319</v>
      </c>
      <c r="G542" s="415"/>
      <c r="H542" s="416"/>
      <c r="I542" s="417"/>
      <c r="J542" s="418"/>
      <c r="K542" s="414" t="s">
        <v>320</v>
      </c>
      <c r="L542" s="419"/>
      <c r="M542" s="419"/>
      <c r="N542" s="415"/>
      <c r="O542" s="405" t="s">
        <v>268</v>
      </c>
      <c r="P542" s="406"/>
      <c r="Q542" s="63"/>
      <c r="R542" s="124" t="str">
        <f>IF(NOT(N558=16),"",IF(OR(ISBLANK(F541),ISBLANK(I541),ISBLANK(L541)),"O","P"))</f>
        <v/>
      </c>
      <c r="S542" s="108" t="str">
        <f>IF(NOT(N558=16),"","Date of Birth")</f>
        <v/>
      </c>
      <c r="T542" s="64"/>
    </row>
    <row r="543" spans="1:20" ht="14.25" x14ac:dyDescent="0.2">
      <c r="A543" s="83"/>
      <c r="B543" s="522" t="s">
        <v>297</v>
      </c>
      <c r="C543" s="463"/>
      <c r="D543" s="463"/>
      <c r="E543" s="463"/>
      <c r="F543" s="463"/>
      <c r="G543" s="463"/>
      <c r="H543" s="463"/>
      <c r="I543" s="463"/>
      <c r="J543" s="463"/>
      <c r="K543" s="463"/>
      <c r="L543" s="463"/>
      <c r="M543" s="463"/>
      <c r="N543" s="463"/>
      <c r="O543" s="463"/>
      <c r="P543" s="464"/>
      <c r="Q543" s="63"/>
      <c r="R543" s="124" t="str">
        <f>IF(NOT(N558=16),"",IF(COUNTBLANK(J536:J536)=1,"O","P"))</f>
        <v/>
      </c>
      <c r="S543" s="112" t="str">
        <f>IF(NOT(N558=16),"","Exam Level")</f>
        <v/>
      </c>
      <c r="T543" s="64"/>
    </row>
    <row r="544" spans="1:20" ht="14.25" x14ac:dyDescent="0.2">
      <c r="A544" s="83"/>
      <c r="B544" s="465"/>
      <c r="C544" s="466"/>
      <c r="D544" s="466"/>
      <c r="E544" s="466"/>
      <c r="F544" s="466"/>
      <c r="G544" s="466"/>
      <c r="H544" s="466"/>
      <c r="I544" s="466"/>
      <c r="J544" s="466"/>
      <c r="K544" s="466"/>
      <c r="L544" s="466"/>
      <c r="M544" s="466"/>
      <c r="N544" s="466"/>
      <c r="O544" s="466"/>
      <c r="P544" s="467"/>
      <c r="Q544" s="63"/>
      <c r="R544" s="124" t="str">
        <f>IF(NOT(N558=16),"",IF(COUNTBLANK(D542:D542)=1,"O","P"))</f>
        <v/>
      </c>
      <c r="S544" s="109" t="str">
        <f>IF(NOT(N558=16),"","Gender")</f>
        <v/>
      </c>
      <c r="T544" s="64"/>
    </row>
    <row r="545" spans="1:20" ht="14.25" x14ac:dyDescent="0.2">
      <c r="A545" s="83"/>
      <c r="B545" s="432" t="s">
        <v>298</v>
      </c>
      <c r="C545" s="433"/>
      <c r="D545" s="434"/>
      <c r="E545" s="405"/>
      <c r="F545" s="406"/>
      <c r="G545" s="432" t="s">
        <v>299</v>
      </c>
      <c r="H545" s="433"/>
      <c r="I545" s="434"/>
      <c r="J545" s="405"/>
      <c r="K545" s="448"/>
      <c r="L545" s="406"/>
      <c r="M545" s="414" t="s">
        <v>300</v>
      </c>
      <c r="N545" s="415"/>
      <c r="O545" s="457"/>
      <c r="P545" s="458"/>
      <c r="Q545" s="63"/>
      <c r="R545" s="124" t="str">
        <f>IF(NOT(N558=16),"",IF(ISBLANK(H542),"O","P"))</f>
        <v/>
      </c>
      <c r="S545" s="109" t="str">
        <f>IF(NOT(N558=16),"","Height")</f>
        <v/>
      </c>
      <c r="T545" s="64"/>
    </row>
    <row r="546" spans="1:20" x14ac:dyDescent="0.2">
      <c r="A546" s="83"/>
      <c r="B546" s="77" t="s">
        <v>153</v>
      </c>
      <c r="C546" s="405"/>
      <c r="D546" s="406"/>
      <c r="E546" s="414" t="s">
        <v>301</v>
      </c>
      <c r="F546" s="415"/>
      <c r="G546" s="459"/>
      <c r="H546" s="460"/>
      <c r="I546" s="461"/>
      <c r="J546" s="414" t="s">
        <v>302</v>
      </c>
      <c r="K546" s="415"/>
      <c r="L546" s="454"/>
      <c r="M546" s="455"/>
      <c r="N546" s="455"/>
      <c r="O546" s="455"/>
      <c r="P546" s="456"/>
      <c r="Q546" s="63"/>
      <c r="R546" s="64"/>
      <c r="S546" s="64"/>
      <c r="T546" s="64"/>
    </row>
    <row r="547" spans="1:20" x14ac:dyDescent="0.2">
      <c r="A547" s="83"/>
      <c r="B547" s="410" t="s">
        <v>116</v>
      </c>
      <c r="C547" s="420"/>
      <c r="D547" s="420"/>
      <c r="E547" s="420"/>
      <c r="F547" s="420"/>
      <c r="G547" s="420"/>
      <c r="H547" s="420"/>
      <c r="I547" s="420"/>
      <c r="J547" s="420"/>
      <c r="K547" s="420"/>
      <c r="L547" s="420"/>
      <c r="M547" s="420"/>
      <c r="N547" s="420"/>
      <c r="O547" s="420"/>
      <c r="P547" s="411"/>
      <c r="Q547" s="63"/>
      <c r="R547" s="64"/>
      <c r="S547" s="64"/>
      <c r="T547" s="64"/>
    </row>
    <row r="548" spans="1:20" x14ac:dyDescent="0.2">
      <c r="A548" s="83"/>
      <c r="B548" s="410" t="s">
        <v>298</v>
      </c>
      <c r="C548" s="420"/>
      <c r="D548" s="411"/>
      <c r="E548" s="405"/>
      <c r="F548" s="406"/>
      <c r="G548" s="410" t="s">
        <v>299</v>
      </c>
      <c r="H548" s="420"/>
      <c r="I548" s="411"/>
      <c r="J548" s="454"/>
      <c r="K548" s="455"/>
      <c r="L548" s="456"/>
      <c r="M548" s="414" t="s">
        <v>300</v>
      </c>
      <c r="N548" s="415"/>
      <c r="O548" s="457"/>
      <c r="P548" s="458"/>
      <c r="Q548" s="63"/>
      <c r="R548" s="64"/>
    </row>
    <row r="549" spans="1:20" ht="13.5" thickBot="1" x14ac:dyDescent="0.25">
      <c r="A549" s="83"/>
      <c r="B549" s="78" t="s">
        <v>153</v>
      </c>
      <c r="C549" s="492"/>
      <c r="D549" s="493"/>
      <c r="E549" s="494" t="s">
        <v>301</v>
      </c>
      <c r="F549" s="495"/>
      <c r="G549" s="496"/>
      <c r="H549" s="497"/>
      <c r="I549" s="498"/>
      <c r="J549" s="414" t="s">
        <v>302</v>
      </c>
      <c r="K549" s="415"/>
      <c r="L549" s="454"/>
      <c r="M549" s="455"/>
      <c r="N549" s="455"/>
      <c r="O549" s="455"/>
      <c r="P549" s="456"/>
      <c r="Q549" s="63"/>
      <c r="R549" s="64"/>
    </row>
    <row r="550" spans="1:20" x14ac:dyDescent="0.2">
      <c r="A550" s="83"/>
      <c r="B550" s="499" t="s">
        <v>126</v>
      </c>
      <c r="C550" s="500"/>
      <c r="D550" s="500"/>
      <c r="E550" s="500"/>
      <c r="F550" s="500"/>
      <c r="G550" s="500"/>
      <c r="H550" s="500"/>
      <c r="I550" s="501"/>
      <c r="J550" s="505"/>
      <c r="K550" s="506"/>
      <c r="L550" s="506"/>
      <c r="M550" s="506"/>
      <c r="N550" s="506"/>
      <c r="O550" s="506"/>
      <c r="P550" s="507"/>
      <c r="Q550" s="63"/>
      <c r="R550" s="64"/>
    </row>
    <row r="551" spans="1:20" x14ac:dyDescent="0.2">
      <c r="A551" s="83"/>
      <c r="B551" s="502"/>
      <c r="C551" s="503"/>
      <c r="D551" s="503"/>
      <c r="E551" s="503"/>
      <c r="F551" s="503"/>
      <c r="G551" s="503"/>
      <c r="H551" s="503"/>
      <c r="I551" s="504"/>
      <c r="J551" s="508"/>
      <c r="K551" s="509"/>
      <c r="L551" s="509"/>
      <c r="M551" s="509"/>
      <c r="N551" s="509"/>
      <c r="O551" s="509"/>
      <c r="P551" s="510"/>
      <c r="Q551" s="63"/>
      <c r="R551" s="64"/>
    </row>
    <row r="552" spans="1:20" x14ac:dyDescent="0.2">
      <c r="A552" s="83"/>
      <c r="B552" s="514" t="s">
        <v>127</v>
      </c>
      <c r="C552" s="515"/>
      <c r="D552" s="515"/>
      <c r="E552" s="515"/>
      <c r="F552" s="515"/>
      <c r="G552" s="515"/>
      <c r="H552" s="515"/>
      <c r="I552" s="516"/>
      <c r="J552" s="508"/>
      <c r="K552" s="509"/>
      <c r="L552" s="509"/>
      <c r="M552" s="509"/>
      <c r="N552" s="509"/>
      <c r="O552" s="509"/>
      <c r="P552" s="510"/>
      <c r="Q552" s="63"/>
      <c r="R552" s="64"/>
    </row>
    <row r="553" spans="1:20" ht="13.5" thickBot="1" x14ac:dyDescent="0.25">
      <c r="A553" s="83"/>
      <c r="B553" s="517"/>
      <c r="C553" s="518"/>
      <c r="D553" s="518"/>
      <c r="E553" s="518"/>
      <c r="F553" s="518"/>
      <c r="G553" s="518"/>
      <c r="H553" s="518"/>
      <c r="I553" s="519"/>
      <c r="J553" s="511"/>
      <c r="K553" s="512"/>
      <c r="L553" s="512"/>
      <c r="M553" s="512"/>
      <c r="N553" s="512"/>
      <c r="O553" s="512"/>
      <c r="P553" s="513"/>
      <c r="Q553" s="63"/>
      <c r="R553" s="64"/>
    </row>
    <row r="554" spans="1:20" x14ac:dyDescent="0.2">
      <c r="A554" s="83"/>
      <c r="B554" s="480" t="s">
        <v>10</v>
      </c>
      <c r="C554" s="481"/>
      <c r="D554" s="481"/>
      <c r="E554" s="481"/>
      <c r="F554" s="481"/>
      <c r="G554" s="481"/>
      <c r="H554" s="481"/>
      <c r="I554" s="482"/>
      <c r="J554" s="79">
        <v>1</v>
      </c>
      <c r="K554" s="483"/>
      <c r="L554" s="484"/>
      <c r="M554" s="484"/>
      <c r="N554" s="484"/>
      <c r="O554" s="484"/>
      <c r="P554" s="485"/>
      <c r="Q554" s="63"/>
      <c r="R554" s="64"/>
    </row>
    <row r="555" spans="1:20" x14ac:dyDescent="0.2">
      <c r="A555" s="83"/>
      <c r="B555" s="486" t="s">
        <v>276</v>
      </c>
      <c r="C555" s="487"/>
      <c r="D555" s="487"/>
      <c r="E555" s="487"/>
      <c r="F555" s="487"/>
      <c r="G555" s="487"/>
      <c r="H555" s="487"/>
      <c r="I555" s="488"/>
      <c r="J555" s="80">
        <v>2</v>
      </c>
      <c r="K555" s="454"/>
      <c r="L555" s="455"/>
      <c r="M555" s="455"/>
      <c r="N555" s="455"/>
      <c r="O555" s="455"/>
      <c r="P555" s="456"/>
      <c r="Q555" s="63"/>
      <c r="R555" s="64"/>
    </row>
    <row r="556" spans="1:20" x14ac:dyDescent="0.2">
      <c r="A556" s="83"/>
      <c r="B556" s="489" t="s">
        <v>234</v>
      </c>
      <c r="C556" s="490"/>
      <c r="D556" s="490"/>
      <c r="E556" s="490"/>
      <c r="F556" s="490"/>
      <c r="G556" s="490"/>
      <c r="H556" s="490"/>
      <c r="I556" s="491"/>
      <c r="J556" s="80">
        <v>3</v>
      </c>
      <c r="K556" s="454"/>
      <c r="L556" s="455"/>
      <c r="M556" s="455"/>
      <c r="N556" s="455"/>
      <c r="O556" s="455"/>
      <c r="P556" s="456"/>
      <c r="Q556" s="63"/>
      <c r="R556" s="64"/>
    </row>
    <row r="557" spans="1:20" x14ac:dyDescent="0.2">
      <c r="A557" s="83"/>
      <c r="B557" s="468"/>
      <c r="C557" s="468"/>
      <c r="D557" s="468"/>
      <c r="E557" s="468"/>
      <c r="F557" s="468"/>
      <c r="G557" s="468"/>
      <c r="H557" s="468"/>
      <c r="I557" s="468"/>
      <c r="J557" s="468"/>
      <c r="K557" s="468"/>
      <c r="L557" s="468"/>
      <c r="M557" s="468"/>
      <c r="N557" s="468"/>
      <c r="O557" s="468"/>
      <c r="P557" s="468"/>
      <c r="Q557" s="63"/>
      <c r="R557" s="64"/>
    </row>
    <row r="558" spans="1:20" ht="12" customHeight="1" x14ac:dyDescent="0.2">
      <c r="A558" s="83"/>
      <c r="B558" s="469" t="s">
        <v>84</v>
      </c>
      <c r="C558" s="471" t="str">
        <f>IF(CODE(B558)=89,"This candidate would like to receive Special","This candidate would not like to receive Special")</f>
        <v>This candidate would like to receive Special</v>
      </c>
      <c r="D558" s="472"/>
      <c r="E558" s="472"/>
      <c r="F558" s="472"/>
      <c r="G558" s="472"/>
      <c r="H558" s="472"/>
      <c r="I558" s="473"/>
      <c r="J558" s="81"/>
      <c r="K558" s="474" t="s">
        <v>205</v>
      </c>
      <c r="L558" s="474"/>
      <c r="M558" s="475"/>
      <c r="N558" s="51" t="str">
        <f>IF($P$33&gt;=16,16,"")</f>
        <v/>
      </c>
      <c r="O558" s="62" t="s">
        <v>52</v>
      </c>
      <c r="P558" s="51" t="str">
        <f>IF($P$33&gt;=16,$P$33,"")</f>
        <v/>
      </c>
      <c r="Q558" s="63"/>
      <c r="R558" s="64"/>
    </row>
    <row r="559" spans="1:20" ht="12" customHeight="1" x14ac:dyDescent="0.2">
      <c r="A559" s="83"/>
      <c r="B559" s="470"/>
      <c r="C559" s="476" t="str">
        <f>IF(CODE(B558)=89,"Announcements and Bulletins from RAD Canada","Announcements and Bulletins from RAD Canada")</f>
        <v>Announcements and Bulletins from RAD Canada</v>
      </c>
      <c r="D559" s="477"/>
      <c r="E559" s="477"/>
      <c r="F559" s="477"/>
      <c r="G559" s="477"/>
      <c r="H559" s="477"/>
      <c r="I559" s="478"/>
      <c r="J559" s="479"/>
      <c r="K559" s="400"/>
      <c r="L559" s="400"/>
      <c r="M559" s="400"/>
      <c r="N559" s="400"/>
      <c r="O559" s="400"/>
      <c r="P559" s="400"/>
      <c r="Q559" s="63"/>
      <c r="R559" s="64"/>
    </row>
    <row r="560" spans="1:20" x14ac:dyDescent="0.2">
      <c r="A560" s="83"/>
      <c r="B560" s="400"/>
      <c r="C560" s="400"/>
      <c r="D560" s="400"/>
      <c r="E560" s="400"/>
      <c r="F560" s="400"/>
      <c r="G560" s="400"/>
      <c r="H560" s="400"/>
      <c r="I560" s="400"/>
      <c r="J560" s="400"/>
      <c r="K560" s="400"/>
      <c r="L560" s="400"/>
      <c r="M560" s="400"/>
      <c r="N560" s="400"/>
      <c r="O560" s="400"/>
      <c r="P560" s="400"/>
      <c r="Q560" s="63"/>
      <c r="R560" s="64"/>
    </row>
    <row r="561" spans="1:20" x14ac:dyDescent="0.2">
      <c r="A561" s="83"/>
      <c r="B561" s="62"/>
      <c r="C561" s="62"/>
      <c r="D561" s="62"/>
      <c r="E561" s="62"/>
      <c r="F561" s="62"/>
      <c r="G561" s="62"/>
      <c r="H561" s="62"/>
      <c r="I561" s="62"/>
      <c r="J561" s="62"/>
      <c r="K561" s="62"/>
      <c r="L561" s="62"/>
      <c r="M561" s="62"/>
      <c r="N561" s="62"/>
      <c r="O561" s="62"/>
      <c r="P561" s="62"/>
      <c r="Q561" s="63"/>
      <c r="R561" s="64"/>
    </row>
    <row r="562" spans="1:20" x14ac:dyDescent="0.2">
      <c r="A562" s="83"/>
      <c r="B562" s="401" t="s">
        <v>233</v>
      </c>
      <c r="C562" s="402"/>
      <c r="D562" s="402"/>
      <c r="E562" s="402"/>
      <c r="F562" s="402"/>
      <c r="G562" s="402"/>
      <c r="H562" s="62"/>
      <c r="I562" s="62"/>
      <c r="J562" s="62"/>
      <c r="K562" s="62"/>
      <c r="L562" s="62"/>
      <c r="M562" s="62"/>
      <c r="N562" s="62"/>
      <c r="O562" s="62"/>
      <c r="P562" s="62"/>
      <c r="Q562" s="63"/>
      <c r="R562" s="64"/>
    </row>
    <row r="563" spans="1:20" ht="15.75" x14ac:dyDescent="0.25">
      <c r="A563" s="83"/>
      <c r="B563" s="402"/>
      <c r="C563" s="402"/>
      <c r="D563" s="402"/>
      <c r="E563" s="402"/>
      <c r="F563" s="402"/>
      <c r="G563" s="402"/>
      <c r="H563" s="82"/>
      <c r="I563" s="403"/>
      <c r="J563" s="403"/>
      <c r="K563" s="403"/>
      <c r="L563" s="403"/>
      <c r="M563" s="403"/>
      <c r="N563" s="403"/>
      <c r="O563" s="403"/>
      <c r="P563" s="403"/>
      <c r="Q563" s="63"/>
      <c r="R563" s="64"/>
    </row>
    <row r="564" spans="1:20" x14ac:dyDescent="0.2">
      <c r="A564" s="83"/>
      <c r="B564" s="400"/>
      <c r="C564" s="400"/>
      <c r="D564" s="400"/>
      <c r="E564" s="400"/>
      <c r="F564" s="400"/>
      <c r="G564" s="400"/>
      <c r="H564" s="400"/>
      <c r="I564" s="400"/>
      <c r="J564" s="400"/>
      <c r="K564" s="400"/>
      <c r="L564" s="400"/>
      <c r="M564" s="403"/>
      <c r="N564" s="403"/>
      <c r="O564" s="403"/>
      <c r="P564" s="403"/>
      <c r="Q564" s="63"/>
      <c r="R564" s="64"/>
    </row>
    <row r="565" spans="1:20" x14ac:dyDescent="0.2">
      <c r="A565" s="83"/>
      <c r="B565" s="404" t="s">
        <v>260</v>
      </c>
      <c r="C565" s="404"/>
      <c r="D565" s="404"/>
      <c r="E565" s="404"/>
      <c r="F565" s="400"/>
      <c r="G565" s="400"/>
      <c r="H565" s="400"/>
      <c r="I565" s="400"/>
      <c r="J565" s="400"/>
      <c r="K565" s="400"/>
      <c r="L565" s="400"/>
      <c r="M565" s="403"/>
      <c r="N565" s="403"/>
      <c r="O565" s="403"/>
      <c r="P565" s="403"/>
      <c r="Q565" s="63"/>
      <c r="R565" s="64"/>
    </row>
    <row r="566" spans="1:20" x14ac:dyDescent="0.2">
      <c r="A566" s="83"/>
      <c r="B566" s="69"/>
      <c r="C566" s="324" t="s">
        <v>75</v>
      </c>
      <c r="D566" s="408"/>
      <c r="E566" s="409"/>
      <c r="F566" s="400"/>
      <c r="G566" s="400"/>
      <c r="H566" s="400"/>
      <c r="I566" s="400"/>
      <c r="J566" s="400"/>
      <c r="K566" s="400"/>
      <c r="L566" s="400"/>
      <c r="M566" s="70"/>
      <c r="N566" s="70"/>
      <c r="O566" s="70"/>
      <c r="P566" s="70"/>
      <c r="Q566" s="63"/>
      <c r="R566" s="64"/>
    </row>
    <row r="567" spans="1:20" x14ac:dyDescent="0.2">
      <c r="A567" s="83"/>
      <c r="B567" s="71"/>
      <c r="C567" s="324" t="s">
        <v>128</v>
      </c>
      <c r="D567" s="408"/>
      <c r="E567" s="409"/>
      <c r="F567" s="400"/>
      <c r="G567" s="400"/>
      <c r="H567" s="400"/>
      <c r="I567" s="400"/>
      <c r="J567" s="400"/>
      <c r="K567" s="400"/>
      <c r="L567" s="400"/>
      <c r="M567" s="407" t="s">
        <v>256</v>
      </c>
      <c r="N567" s="407"/>
      <c r="O567" s="407"/>
      <c r="P567" s="407"/>
      <c r="Q567" s="63"/>
      <c r="R567" s="64"/>
    </row>
    <row r="568" spans="1:20" x14ac:dyDescent="0.2">
      <c r="A568" s="83"/>
      <c r="B568" s="56"/>
      <c r="C568" s="324" t="s">
        <v>275</v>
      </c>
      <c r="D568" s="408"/>
      <c r="E568" s="409"/>
      <c r="F568" s="400"/>
      <c r="G568" s="400"/>
      <c r="H568" s="400"/>
      <c r="I568" s="400"/>
      <c r="J568" s="400"/>
      <c r="K568" s="400"/>
      <c r="L568" s="400"/>
      <c r="M568" s="407"/>
      <c r="N568" s="407"/>
      <c r="O568" s="407"/>
      <c r="P568" s="407"/>
      <c r="Q568" s="63"/>
      <c r="R568" s="64"/>
    </row>
    <row r="569" spans="1:20" x14ac:dyDescent="0.2">
      <c r="A569" s="83"/>
      <c r="B569" s="520"/>
      <c r="C569" s="520"/>
      <c r="D569" s="520"/>
      <c r="E569" s="520"/>
      <c r="F569" s="520"/>
      <c r="G569" s="520"/>
      <c r="H569" s="520"/>
      <c r="I569" s="520"/>
      <c r="J569" s="520"/>
      <c r="K569" s="520"/>
      <c r="L569" s="520"/>
      <c r="M569" s="520"/>
      <c r="N569" s="520"/>
      <c r="O569" s="520"/>
      <c r="P569" s="520"/>
      <c r="Q569" s="63"/>
      <c r="R569" s="64"/>
    </row>
    <row r="570" spans="1:20" x14ac:dyDescent="0.2">
      <c r="A570" s="83"/>
      <c r="B570" s="432" t="s">
        <v>117</v>
      </c>
      <c r="C570" s="433"/>
      <c r="D570" s="434"/>
      <c r="E570" s="442" t="str">
        <f>IF(AND($P$33&gt;=17,NOT(ISBLANK($E$10))),$E$10,"")</f>
        <v/>
      </c>
      <c r="F570" s="443"/>
      <c r="G570" s="444"/>
      <c r="H570" s="414" t="s">
        <v>124</v>
      </c>
      <c r="I570" s="415"/>
      <c r="J570" s="442" t="str">
        <f>IF(AND($P$33&gt;=17,NOT(ISBLANK($J$10))),$J$10,"")</f>
        <v/>
      </c>
      <c r="K570" s="443"/>
      <c r="L570" s="444"/>
      <c r="M570" s="414" t="s">
        <v>118</v>
      </c>
      <c r="N570" s="415"/>
      <c r="O570" s="430" t="str">
        <f>IF(AND($P$33&gt;=17,NOT(ISBLANK($O$10))),$O$10,"")</f>
        <v/>
      </c>
      <c r="P570" s="521"/>
      <c r="Q570" s="63"/>
      <c r="R570" s="545" t="s">
        <v>307</v>
      </c>
      <c r="S570" s="546"/>
      <c r="T570" s="547"/>
    </row>
    <row r="571" spans="1:20" x14ac:dyDescent="0.2">
      <c r="A571" s="83"/>
      <c r="B571" s="432" t="s">
        <v>240</v>
      </c>
      <c r="C571" s="433"/>
      <c r="D571" s="434"/>
      <c r="E571" s="435" t="str">
        <f>IF(NOT($N593=17),"",IF(ISERROR(LOOKUP(17,'Teacher Summary Sheet'!$M$19:$M$181)),"",IF(VLOOKUP(17,'Teacher Summary Sheet'!$M$19:$R$181,2)=0,"",VLOOKUP(17,'Teacher Summary Sheet'!$M$19:$R$181,2))))</f>
        <v/>
      </c>
      <c r="F571" s="436"/>
      <c r="G571" s="437"/>
      <c r="H571" s="438" t="s">
        <v>119</v>
      </c>
      <c r="I571" s="439"/>
      <c r="J571" s="102" t="str">
        <f>IF(NOT($N593=17),"",IF(ISERROR(LOOKUP(17,'Teacher Summary Sheet'!$M$19:$M$181)),"",IF(VLOOKUP(17,'Teacher Summary Sheet'!$M$19:$R$181,6)=0,"",VLOOKUP(17,'Teacher Summary Sheet'!$M$19:$R$181,6))))</f>
        <v/>
      </c>
      <c r="K571" s="414" t="s">
        <v>179</v>
      </c>
      <c r="L571" s="419"/>
      <c r="M571" s="415"/>
      <c r="N571" s="412" t="str">
        <f>IF(NOT($N593=17),"",IF(ISERROR(LOOKUP(17,'Teacher Summary Sheet'!$M$19:$M$181)),"",IF('Teacher Summary Sheet'!$F$31=0,"",'Teacher Summary Sheet'!$F$31)))</f>
        <v/>
      </c>
      <c r="O571" s="440"/>
      <c r="P571" s="413"/>
      <c r="Q571" s="63"/>
      <c r="R571" s="548"/>
      <c r="S571" s="549"/>
      <c r="T571" s="550"/>
    </row>
    <row r="572" spans="1:20" ht="14.25" x14ac:dyDescent="0.2">
      <c r="A572" s="83"/>
      <c r="B572" s="410" t="s">
        <v>241</v>
      </c>
      <c r="C572" s="420"/>
      <c r="D572" s="411"/>
      <c r="E572" s="421" t="str">
        <f>IF(NOT($N593=17),"",IF(ISERROR(LOOKUP(17,'Teacher Summary Sheet'!$M$19:$M$181)),"",IF(VLOOKUP(17,'Teacher Summary Sheet'!$M$19:$R$181,3)=0,"",VLOOKUP(17,'Teacher Summary Sheet'!$M$19:$R$181,3))))</f>
        <v/>
      </c>
      <c r="F572" s="422"/>
      <c r="G572" s="422"/>
      <c r="H572" s="422"/>
      <c r="I572" s="423"/>
      <c r="J572" s="414" t="s">
        <v>124</v>
      </c>
      <c r="K572" s="415"/>
      <c r="L572" s="424" t="str">
        <f>IF(NOT($N593=17),"",IF(ISERROR(LOOKUP(17,'Teacher Summary Sheet'!$M$19:$M$181)),"",IF(VLOOKUP(17,'Teacher Summary Sheet'!$M$19:$R$181,4)=0,"",VLOOKUP(17,'Teacher Summary Sheet'!$M$19:$R$181,4))))</f>
        <v/>
      </c>
      <c r="M572" s="425"/>
      <c r="N572" s="425"/>
      <c r="O572" s="425"/>
      <c r="P572" s="426"/>
      <c r="Q572" s="63"/>
      <c r="R572" s="125" t="str">
        <f>IF(NOT(N593=17),"",IF(COUNTIF(R574:R580,"P")=7,"P","O"))</f>
        <v/>
      </c>
      <c r="S572" s="110" t="str">
        <f>IF(NOT(N593=17),"",IF(COUNTIF(R574:R580,"P")=7,"Complete","Incomplete"))</f>
        <v/>
      </c>
      <c r="T572" s="111"/>
    </row>
    <row r="573" spans="1:20" x14ac:dyDescent="0.2">
      <c r="A573" s="83"/>
      <c r="B573" s="410" t="s">
        <v>120</v>
      </c>
      <c r="C573" s="420"/>
      <c r="D573" s="411"/>
      <c r="E573" s="427"/>
      <c r="F573" s="428"/>
      <c r="G573" s="428"/>
      <c r="H573" s="428"/>
      <c r="I573" s="428"/>
      <c r="J573" s="429"/>
      <c r="K573" s="62" t="s">
        <v>121</v>
      </c>
      <c r="L573" s="427"/>
      <c r="M573" s="428"/>
      <c r="N573" s="428"/>
      <c r="O573" s="428"/>
      <c r="P573" s="429"/>
      <c r="Q573" s="63"/>
    </row>
    <row r="574" spans="1:20" ht="14.25" x14ac:dyDescent="0.2">
      <c r="A574" s="83"/>
      <c r="B574" s="410" t="s">
        <v>196</v>
      </c>
      <c r="C574" s="420"/>
      <c r="D574" s="411"/>
      <c r="E574" s="427"/>
      <c r="F574" s="428"/>
      <c r="G574" s="428"/>
      <c r="H574" s="428"/>
      <c r="I574" s="429"/>
      <c r="J574" s="73" t="s">
        <v>197</v>
      </c>
      <c r="K574" s="405"/>
      <c r="L574" s="406"/>
      <c r="M574" s="414" t="s">
        <v>212</v>
      </c>
      <c r="N574" s="415"/>
      <c r="O574" s="405"/>
      <c r="P574" s="406"/>
      <c r="Q574" s="63"/>
      <c r="R574" s="124" t="str">
        <f>IF(NOT(N593=17),"",IF(OR(COUNTBLANK(E572:E572)=1,COUNTBLANK(L572:L572)=1),"O","P"))</f>
        <v/>
      </c>
      <c r="S574" s="108" t="str">
        <f>IF(NOT(N593=17),"","Candidate Name")</f>
        <v/>
      </c>
      <c r="T574" s="64"/>
    </row>
    <row r="575" spans="1:20" ht="14.25" x14ac:dyDescent="0.2">
      <c r="A575" s="83"/>
      <c r="B575" s="410" t="s">
        <v>198</v>
      </c>
      <c r="C575" s="420"/>
      <c r="D575" s="411"/>
      <c r="E575" s="454"/>
      <c r="F575" s="455"/>
      <c r="G575" s="455"/>
      <c r="H575" s="456"/>
      <c r="I575" s="74" t="s">
        <v>199</v>
      </c>
      <c r="J575" s="427"/>
      <c r="K575" s="428"/>
      <c r="L575" s="428"/>
      <c r="M575" s="428"/>
      <c r="N575" s="428"/>
      <c r="O575" s="428"/>
      <c r="P575" s="429"/>
      <c r="Q575" s="63"/>
      <c r="R575" s="124" t="str">
        <f>IF(NOT(N593=17),"",IF(COUNTBLANK(E571:E571)=1,"O","P"))</f>
        <v/>
      </c>
      <c r="S575" s="108" t="str">
        <f>IF(NOT(N593=17),"","Candidate ID")</f>
        <v/>
      </c>
      <c r="T575" s="64"/>
    </row>
    <row r="576" spans="1:20" ht="14.25" x14ac:dyDescent="0.2">
      <c r="A576" s="83"/>
      <c r="B576" s="410" t="s">
        <v>227</v>
      </c>
      <c r="C576" s="420"/>
      <c r="D576" s="411"/>
      <c r="E576" s="75" t="s">
        <v>218</v>
      </c>
      <c r="F576" s="405"/>
      <c r="G576" s="448"/>
      <c r="H576" s="75" t="s">
        <v>138</v>
      </c>
      <c r="I576" s="449"/>
      <c r="J576" s="450"/>
      <c r="K576" s="76" t="s">
        <v>139</v>
      </c>
      <c r="L576" s="451"/>
      <c r="M576" s="452"/>
      <c r="N576" s="76" t="s">
        <v>228</v>
      </c>
      <c r="O576" s="453" t="str">
        <f ca="1">IF(OR(ISBLANK(L576),ISBLANK(I576),ISBLANK(F576),COUNTBLANK(J571:J571)=1),"",IF(DATEDIF(DATE(L576,VLOOKUP(I576,data!$T$2:$U$13,2,FALSE),F576),IF(AND(TODAY()&lt;data!$AJ$12,TODAY()&gt;data!$AI$12),data!$AI$3,data!$AJ$3),"Y")&gt;=data!$AC$19,YEAR(TODAY())-L576,data!$AD$3))</f>
        <v/>
      </c>
      <c r="P576" s="413"/>
      <c r="Q576" s="63"/>
      <c r="R576" s="124" t="str">
        <f>IF(NOT(N593=17),"",IF(OR(ISBLANK(E573),ISBLANK(L573),ISBLANK(K574),ISBLANK(O574)),"O","P"))</f>
        <v/>
      </c>
      <c r="S576" s="108" t="str">
        <f>IF(NOT(N593=17),"","Address")</f>
        <v/>
      </c>
      <c r="T576" s="64"/>
    </row>
    <row r="577" spans="1:20" ht="15" thickBot="1" x14ac:dyDescent="0.25">
      <c r="A577" s="83"/>
      <c r="B577" s="410" t="s">
        <v>214</v>
      </c>
      <c r="C577" s="411"/>
      <c r="D577" s="412" t="str">
        <f>IF(NOT($N593=17),"",IF(ISERROR(LOOKUP(17,'Teacher Summary Sheet'!$M$19:$M$181)),"",IF(VLOOKUP(17,'Teacher Summary Sheet'!$M$19:$R$181,5)=0,"",VLOOKUP(17,'Teacher Summary Sheet'!$M$19:$R$181,5))))</f>
        <v/>
      </c>
      <c r="E577" s="413"/>
      <c r="F577" s="414" t="s">
        <v>319</v>
      </c>
      <c r="G577" s="415"/>
      <c r="H577" s="416"/>
      <c r="I577" s="417"/>
      <c r="J577" s="418"/>
      <c r="K577" s="414" t="s">
        <v>320</v>
      </c>
      <c r="L577" s="419"/>
      <c r="M577" s="419"/>
      <c r="N577" s="415"/>
      <c r="O577" s="405" t="s">
        <v>268</v>
      </c>
      <c r="P577" s="406"/>
      <c r="Q577" s="63"/>
      <c r="R577" s="124" t="str">
        <f>IF(NOT(N593=17),"",IF(OR(ISBLANK(F576),ISBLANK(I576),ISBLANK(L576)),"O","P"))</f>
        <v/>
      </c>
      <c r="S577" s="108" t="str">
        <f>IF(NOT(N593=17),"","Date of Birth")</f>
        <v/>
      </c>
      <c r="T577" s="64"/>
    </row>
    <row r="578" spans="1:20" ht="14.25" x14ac:dyDescent="0.2">
      <c r="A578" s="83"/>
      <c r="B578" s="522" t="s">
        <v>297</v>
      </c>
      <c r="C578" s="463"/>
      <c r="D578" s="463"/>
      <c r="E578" s="463"/>
      <c r="F578" s="463"/>
      <c r="G578" s="463"/>
      <c r="H578" s="463"/>
      <c r="I578" s="463"/>
      <c r="J578" s="463"/>
      <c r="K578" s="463"/>
      <c r="L578" s="463"/>
      <c r="M578" s="463"/>
      <c r="N578" s="463"/>
      <c r="O578" s="463"/>
      <c r="P578" s="464"/>
      <c r="Q578" s="63"/>
      <c r="R578" s="124" t="str">
        <f>IF(NOT(N593=17),"",IF(COUNTBLANK(J571:J571)=1,"O","P"))</f>
        <v/>
      </c>
      <c r="S578" s="112" t="str">
        <f>IF(NOT(N593=17),"","Exam Level")</f>
        <v/>
      </c>
      <c r="T578" s="64"/>
    </row>
    <row r="579" spans="1:20" ht="14.25" x14ac:dyDescent="0.2">
      <c r="A579" s="83"/>
      <c r="B579" s="465"/>
      <c r="C579" s="466"/>
      <c r="D579" s="466"/>
      <c r="E579" s="466"/>
      <c r="F579" s="466"/>
      <c r="G579" s="466"/>
      <c r="H579" s="466"/>
      <c r="I579" s="466"/>
      <c r="J579" s="466"/>
      <c r="K579" s="466"/>
      <c r="L579" s="466"/>
      <c r="M579" s="466"/>
      <c r="N579" s="466"/>
      <c r="O579" s="466"/>
      <c r="P579" s="467"/>
      <c r="Q579" s="63"/>
      <c r="R579" s="124" t="str">
        <f>IF(NOT(N593=17),"",IF(COUNTBLANK(D577:D577)=1,"O","P"))</f>
        <v/>
      </c>
      <c r="S579" s="109" t="str">
        <f>IF(NOT(N593=17),"","Gender")</f>
        <v/>
      </c>
      <c r="T579" s="64"/>
    </row>
    <row r="580" spans="1:20" ht="14.25" x14ac:dyDescent="0.2">
      <c r="A580" s="83"/>
      <c r="B580" s="432" t="s">
        <v>298</v>
      </c>
      <c r="C580" s="433"/>
      <c r="D580" s="434"/>
      <c r="E580" s="405"/>
      <c r="F580" s="406"/>
      <c r="G580" s="432" t="s">
        <v>299</v>
      </c>
      <c r="H580" s="433"/>
      <c r="I580" s="434"/>
      <c r="J580" s="405"/>
      <c r="K580" s="448"/>
      <c r="L580" s="406"/>
      <c r="M580" s="414" t="s">
        <v>300</v>
      </c>
      <c r="N580" s="415"/>
      <c r="O580" s="457"/>
      <c r="P580" s="458"/>
      <c r="Q580" s="63"/>
      <c r="R580" s="124" t="str">
        <f>IF(NOT(N593=17),"",IF(ISBLANK(H577),"O","P"))</f>
        <v/>
      </c>
      <c r="S580" s="109" t="str">
        <f>IF(NOT(N593=17),"","Height")</f>
        <v/>
      </c>
      <c r="T580" s="64"/>
    </row>
    <row r="581" spans="1:20" x14ac:dyDescent="0.2">
      <c r="A581" s="83"/>
      <c r="B581" s="77" t="s">
        <v>153</v>
      </c>
      <c r="C581" s="405"/>
      <c r="D581" s="406"/>
      <c r="E581" s="414" t="s">
        <v>301</v>
      </c>
      <c r="F581" s="415"/>
      <c r="G581" s="459"/>
      <c r="H581" s="460"/>
      <c r="I581" s="461"/>
      <c r="J581" s="414" t="s">
        <v>302</v>
      </c>
      <c r="K581" s="415"/>
      <c r="L581" s="454"/>
      <c r="M581" s="455"/>
      <c r="N581" s="455"/>
      <c r="O581" s="455"/>
      <c r="P581" s="456"/>
      <c r="Q581" s="63"/>
      <c r="R581" s="64"/>
      <c r="S581" s="64"/>
      <c r="T581" s="64"/>
    </row>
    <row r="582" spans="1:20" x14ac:dyDescent="0.2">
      <c r="A582" s="83"/>
      <c r="B582" s="410" t="s">
        <v>116</v>
      </c>
      <c r="C582" s="420"/>
      <c r="D582" s="420"/>
      <c r="E582" s="420"/>
      <c r="F582" s="420"/>
      <c r="G582" s="420"/>
      <c r="H582" s="420"/>
      <c r="I582" s="420"/>
      <c r="J582" s="420"/>
      <c r="K582" s="420"/>
      <c r="L582" s="420"/>
      <c r="M582" s="420"/>
      <c r="N582" s="420"/>
      <c r="O582" s="420"/>
      <c r="P582" s="411"/>
      <c r="Q582" s="63"/>
      <c r="R582" s="64"/>
      <c r="S582" s="64"/>
      <c r="T582" s="64"/>
    </row>
    <row r="583" spans="1:20" x14ac:dyDescent="0.2">
      <c r="A583" s="83"/>
      <c r="B583" s="410" t="s">
        <v>298</v>
      </c>
      <c r="C583" s="420"/>
      <c r="D583" s="411"/>
      <c r="E583" s="405"/>
      <c r="F583" s="406"/>
      <c r="G583" s="410" t="s">
        <v>299</v>
      </c>
      <c r="H583" s="420"/>
      <c r="I583" s="411"/>
      <c r="J583" s="454"/>
      <c r="K583" s="455"/>
      <c r="L583" s="456"/>
      <c r="M583" s="414" t="s">
        <v>300</v>
      </c>
      <c r="N583" s="415"/>
      <c r="O583" s="457"/>
      <c r="P583" s="458"/>
      <c r="Q583" s="63"/>
      <c r="R583" s="64"/>
    </row>
    <row r="584" spans="1:20" ht="13.5" thickBot="1" x14ac:dyDescent="0.25">
      <c r="A584" s="83"/>
      <c r="B584" s="78" t="s">
        <v>153</v>
      </c>
      <c r="C584" s="492"/>
      <c r="D584" s="493"/>
      <c r="E584" s="494" t="s">
        <v>301</v>
      </c>
      <c r="F584" s="495"/>
      <c r="G584" s="496"/>
      <c r="H584" s="497"/>
      <c r="I584" s="498"/>
      <c r="J584" s="414" t="s">
        <v>302</v>
      </c>
      <c r="K584" s="415"/>
      <c r="L584" s="454"/>
      <c r="M584" s="455"/>
      <c r="N584" s="455"/>
      <c r="O584" s="455"/>
      <c r="P584" s="456"/>
      <c r="Q584" s="63"/>
      <c r="R584" s="64"/>
    </row>
    <row r="585" spans="1:20" x14ac:dyDescent="0.2">
      <c r="A585" s="83"/>
      <c r="B585" s="499" t="s">
        <v>126</v>
      </c>
      <c r="C585" s="500"/>
      <c r="D585" s="500"/>
      <c r="E585" s="500"/>
      <c r="F585" s="500"/>
      <c r="G585" s="500"/>
      <c r="H585" s="500"/>
      <c r="I585" s="501"/>
      <c r="J585" s="505"/>
      <c r="K585" s="506"/>
      <c r="L585" s="506"/>
      <c r="M585" s="506"/>
      <c r="N585" s="506"/>
      <c r="O585" s="506"/>
      <c r="P585" s="507"/>
      <c r="Q585" s="63"/>
      <c r="R585" s="64"/>
    </row>
    <row r="586" spans="1:20" x14ac:dyDescent="0.2">
      <c r="A586" s="83"/>
      <c r="B586" s="502"/>
      <c r="C586" s="503"/>
      <c r="D586" s="503"/>
      <c r="E586" s="503"/>
      <c r="F586" s="503"/>
      <c r="G586" s="503"/>
      <c r="H586" s="503"/>
      <c r="I586" s="504"/>
      <c r="J586" s="508"/>
      <c r="K586" s="509"/>
      <c r="L586" s="509"/>
      <c r="M586" s="509"/>
      <c r="N586" s="509"/>
      <c r="O586" s="509"/>
      <c r="P586" s="510"/>
      <c r="Q586" s="63"/>
      <c r="R586" s="64"/>
    </row>
    <row r="587" spans="1:20" x14ac:dyDescent="0.2">
      <c r="A587" s="83"/>
      <c r="B587" s="514" t="s">
        <v>127</v>
      </c>
      <c r="C587" s="515"/>
      <c r="D587" s="515"/>
      <c r="E587" s="515"/>
      <c r="F587" s="515"/>
      <c r="G587" s="515"/>
      <c r="H587" s="515"/>
      <c r="I587" s="516"/>
      <c r="J587" s="508"/>
      <c r="K587" s="509"/>
      <c r="L587" s="509"/>
      <c r="M587" s="509"/>
      <c r="N587" s="509"/>
      <c r="O587" s="509"/>
      <c r="P587" s="510"/>
      <c r="Q587" s="63"/>
      <c r="R587" s="64"/>
    </row>
    <row r="588" spans="1:20" ht="13.5" thickBot="1" x14ac:dyDescent="0.25">
      <c r="A588" s="83"/>
      <c r="B588" s="517"/>
      <c r="C588" s="518"/>
      <c r="D588" s="518"/>
      <c r="E588" s="518"/>
      <c r="F588" s="518"/>
      <c r="G588" s="518"/>
      <c r="H588" s="518"/>
      <c r="I588" s="519"/>
      <c r="J588" s="511"/>
      <c r="K588" s="512"/>
      <c r="L588" s="512"/>
      <c r="M588" s="512"/>
      <c r="N588" s="512"/>
      <c r="O588" s="512"/>
      <c r="P588" s="513"/>
      <c r="Q588" s="63"/>
      <c r="R588" s="64"/>
    </row>
    <row r="589" spans="1:20" x14ac:dyDescent="0.2">
      <c r="A589" s="83"/>
      <c r="B589" s="480" t="s">
        <v>10</v>
      </c>
      <c r="C589" s="481"/>
      <c r="D589" s="481"/>
      <c r="E589" s="481"/>
      <c r="F589" s="481"/>
      <c r="G589" s="481"/>
      <c r="H589" s="481"/>
      <c r="I589" s="482"/>
      <c r="J589" s="79">
        <v>1</v>
      </c>
      <c r="K589" s="483"/>
      <c r="L589" s="484"/>
      <c r="M589" s="484"/>
      <c r="N589" s="484"/>
      <c r="O589" s="484"/>
      <c r="P589" s="485"/>
      <c r="Q589" s="63"/>
      <c r="R589" s="64"/>
    </row>
    <row r="590" spans="1:20" x14ac:dyDescent="0.2">
      <c r="A590" s="83"/>
      <c r="B590" s="486" t="s">
        <v>276</v>
      </c>
      <c r="C590" s="487"/>
      <c r="D590" s="487"/>
      <c r="E590" s="487"/>
      <c r="F590" s="487"/>
      <c r="G590" s="487"/>
      <c r="H590" s="487"/>
      <c r="I590" s="488"/>
      <c r="J590" s="80">
        <v>2</v>
      </c>
      <c r="K590" s="454"/>
      <c r="L590" s="455"/>
      <c r="M590" s="455"/>
      <c r="N590" s="455"/>
      <c r="O590" s="455"/>
      <c r="P590" s="456"/>
      <c r="Q590" s="63"/>
      <c r="R590" s="64"/>
    </row>
    <row r="591" spans="1:20" x14ac:dyDescent="0.2">
      <c r="A591" s="83"/>
      <c r="B591" s="489" t="s">
        <v>234</v>
      </c>
      <c r="C591" s="490"/>
      <c r="D591" s="490"/>
      <c r="E591" s="490"/>
      <c r="F591" s="490"/>
      <c r="G591" s="490"/>
      <c r="H591" s="490"/>
      <c r="I591" s="491"/>
      <c r="J591" s="80">
        <v>3</v>
      </c>
      <c r="K591" s="454"/>
      <c r="L591" s="455"/>
      <c r="M591" s="455"/>
      <c r="N591" s="455"/>
      <c r="O591" s="455"/>
      <c r="P591" s="456"/>
      <c r="Q591" s="63"/>
      <c r="R591" s="64"/>
    </row>
    <row r="592" spans="1:20" x14ac:dyDescent="0.2">
      <c r="A592" s="83"/>
      <c r="B592" s="468"/>
      <c r="C592" s="468"/>
      <c r="D592" s="468"/>
      <c r="E592" s="468"/>
      <c r="F592" s="468"/>
      <c r="G592" s="468"/>
      <c r="H592" s="468"/>
      <c r="I592" s="468"/>
      <c r="J592" s="468"/>
      <c r="K592" s="468"/>
      <c r="L592" s="468"/>
      <c r="M592" s="468"/>
      <c r="N592" s="468"/>
      <c r="O592" s="468"/>
      <c r="P592" s="468"/>
      <c r="Q592" s="63"/>
      <c r="R592" s="64"/>
    </row>
    <row r="593" spans="1:20" ht="12" customHeight="1" x14ac:dyDescent="0.2">
      <c r="A593" s="83"/>
      <c r="B593" s="469" t="s">
        <v>84</v>
      </c>
      <c r="C593" s="471" t="str">
        <f>IF(CODE(B593)=89,"This candidate would like to receive Special","This candidate would not like to receive Special")</f>
        <v>This candidate would like to receive Special</v>
      </c>
      <c r="D593" s="472"/>
      <c r="E593" s="472"/>
      <c r="F593" s="472"/>
      <c r="G593" s="472"/>
      <c r="H593" s="472"/>
      <c r="I593" s="473"/>
      <c r="J593" s="81"/>
      <c r="K593" s="474" t="s">
        <v>207</v>
      </c>
      <c r="L593" s="474"/>
      <c r="M593" s="475"/>
      <c r="N593" s="51" t="str">
        <f>IF($P$33&gt;=17,17,"")</f>
        <v/>
      </c>
      <c r="O593" s="62" t="s">
        <v>52</v>
      </c>
      <c r="P593" s="51" t="str">
        <f>IF($P$33&gt;=17,$P$33,"")</f>
        <v/>
      </c>
      <c r="Q593" s="63"/>
      <c r="R593" s="64"/>
    </row>
    <row r="594" spans="1:20" ht="12" customHeight="1" x14ac:dyDescent="0.2">
      <c r="A594" s="83"/>
      <c r="B594" s="470"/>
      <c r="C594" s="476" t="str">
        <f>IF(CODE(B593)=89,"Announcements and Bulletins from RAD Canada","Announcements and Bulletins from RAD Canada")</f>
        <v>Announcements and Bulletins from RAD Canada</v>
      </c>
      <c r="D594" s="477"/>
      <c r="E594" s="477"/>
      <c r="F594" s="477"/>
      <c r="G594" s="477"/>
      <c r="H594" s="477"/>
      <c r="I594" s="478"/>
      <c r="J594" s="479"/>
      <c r="K594" s="400"/>
      <c r="L594" s="400"/>
      <c r="M594" s="400"/>
      <c r="N594" s="400"/>
      <c r="O594" s="400"/>
      <c r="P594" s="400"/>
      <c r="Q594" s="63"/>
      <c r="R594" s="64"/>
    </row>
    <row r="595" spans="1:20" x14ac:dyDescent="0.2">
      <c r="A595" s="83"/>
      <c r="B595" s="400"/>
      <c r="C595" s="400"/>
      <c r="D595" s="400"/>
      <c r="E595" s="400"/>
      <c r="F595" s="400"/>
      <c r="G595" s="400"/>
      <c r="H595" s="400"/>
      <c r="I595" s="400"/>
      <c r="J595" s="400"/>
      <c r="K595" s="400"/>
      <c r="L595" s="400"/>
      <c r="M595" s="400"/>
      <c r="N595" s="400"/>
      <c r="O595" s="400"/>
      <c r="P595" s="400"/>
      <c r="Q595" s="63"/>
      <c r="R595" s="64"/>
    </row>
    <row r="596" spans="1:20" x14ac:dyDescent="0.2">
      <c r="A596" s="83"/>
      <c r="B596" s="62"/>
      <c r="C596" s="62"/>
      <c r="D596" s="62"/>
      <c r="E596" s="62"/>
      <c r="F596" s="62"/>
      <c r="G596" s="62"/>
      <c r="H596" s="62"/>
      <c r="I596" s="62"/>
      <c r="J596" s="62"/>
      <c r="K596" s="62"/>
      <c r="L596" s="62"/>
      <c r="M596" s="62"/>
      <c r="N596" s="62"/>
      <c r="O596" s="62"/>
      <c r="P596" s="62"/>
      <c r="Q596" s="63"/>
      <c r="R596" s="64"/>
    </row>
    <row r="597" spans="1:20" x14ac:dyDescent="0.2">
      <c r="A597" s="83"/>
      <c r="B597" s="401" t="s">
        <v>140</v>
      </c>
      <c r="C597" s="402"/>
      <c r="D597" s="402"/>
      <c r="E597" s="402"/>
      <c r="F597" s="402"/>
      <c r="G597" s="402"/>
      <c r="H597" s="62"/>
      <c r="I597" s="62"/>
      <c r="J597" s="62"/>
      <c r="K597" s="62"/>
      <c r="L597" s="62"/>
      <c r="M597" s="62"/>
      <c r="N597" s="62"/>
      <c r="O597" s="62"/>
      <c r="P597" s="62"/>
      <c r="Q597" s="63"/>
      <c r="R597" s="64"/>
    </row>
    <row r="598" spans="1:20" ht="15.75" x14ac:dyDescent="0.25">
      <c r="A598" s="83"/>
      <c r="B598" s="402"/>
      <c r="C598" s="402"/>
      <c r="D598" s="402"/>
      <c r="E598" s="402"/>
      <c r="F598" s="402"/>
      <c r="G598" s="402"/>
      <c r="H598" s="82"/>
      <c r="I598" s="403"/>
      <c r="J598" s="403"/>
      <c r="K598" s="403"/>
      <c r="L598" s="403"/>
      <c r="M598" s="403"/>
      <c r="N598" s="403"/>
      <c r="O598" s="403"/>
      <c r="P598" s="403"/>
      <c r="Q598" s="63"/>
      <c r="R598" s="64"/>
    </row>
    <row r="599" spans="1:20" x14ac:dyDescent="0.2">
      <c r="A599" s="83"/>
      <c r="B599" s="400"/>
      <c r="C599" s="400"/>
      <c r="D599" s="400"/>
      <c r="E599" s="400"/>
      <c r="F599" s="400"/>
      <c r="G599" s="400"/>
      <c r="H599" s="400"/>
      <c r="I599" s="400"/>
      <c r="J599" s="400"/>
      <c r="K599" s="400"/>
      <c r="L599" s="400"/>
      <c r="M599" s="403"/>
      <c r="N599" s="403"/>
      <c r="O599" s="403"/>
      <c r="P599" s="403"/>
      <c r="Q599" s="63"/>
      <c r="R599" s="64"/>
    </row>
    <row r="600" spans="1:20" x14ac:dyDescent="0.2">
      <c r="A600" s="83"/>
      <c r="B600" s="404" t="s">
        <v>260</v>
      </c>
      <c r="C600" s="404"/>
      <c r="D600" s="404"/>
      <c r="E600" s="404"/>
      <c r="F600" s="400"/>
      <c r="G600" s="400"/>
      <c r="H600" s="400"/>
      <c r="I600" s="400"/>
      <c r="J600" s="400"/>
      <c r="K600" s="400"/>
      <c r="L600" s="400"/>
      <c r="M600" s="403"/>
      <c r="N600" s="403"/>
      <c r="O600" s="403"/>
      <c r="P600" s="403"/>
      <c r="Q600" s="63"/>
      <c r="R600" s="64"/>
    </row>
    <row r="601" spans="1:20" x14ac:dyDescent="0.2">
      <c r="A601" s="83"/>
      <c r="B601" s="69"/>
      <c r="C601" s="324" t="s">
        <v>75</v>
      </c>
      <c r="D601" s="408"/>
      <c r="E601" s="409"/>
      <c r="F601" s="400"/>
      <c r="G601" s="400"/>
      <c r="H601" s="400"/>
      <c r="I601" s="400"/>
      <c r="J601" s="400"/>
      <c r="K601" s="400"/>
      <c r="L601" s="400"/>
      <c r="M601" s="70"/>
      <c r="N601" s="70"/>
      <c r="O601" s="70"/>
      <c r="P601" s="70"/>
      <c r="Q601" s="63"/>
      <c r="R601" s="64"/>
    </row>
    <row r="602" spans="1:20" x14ac:dyDescent="0.2">
      <c r="A602" s="83"/>
      <c r="B602" s="71"/>
      <c r="C602" s="324" t="s">
        <v>128</v>
      </c>
      <c r="D602" s="408"/>
      <c r="E602" s="409"/>
      <c r="F602" s="400"/>
      <c r="G602" s="400"/>
      <c r="H602" s="400"/>
      <c r="I602" s="400"/>
      <c r="J602" s="400"/>
      <c r="K602" s="400"/>
      <c r="L602" s="400"/>
      <c r="M602" s="407" t="s">
        <v>256</v>
      </c>
      <c r="N602" s="407"/>
      <c r="O602" s="407"/>
      <c r="P602" s="407"/>
      <c r="Q602" s="63"/>
      <c r="R602" s="64"/>
    </row>
    <row r="603" spans="1:20" x14ac:dyDescent="0.2">
      <c r="A603" s="83"/>
      <c r="B603" s="56"/>
      <c r="C603" s="324" t="s">
        <v>141</v>
      </c>
      <c r="D603" s="408"/>
      <c r="E603" s="409"/>
      <c r="F603" s="400"/>
      <c r="G603" s="400"/>
      <c r="H603" s="400"/>
      <c r="I603" s="400"/>
      <c r="J603" s="400"/>
      <c r="K603" s="400"/>
      <c r="L603" s="400"/>
      <c r="M603" s="407"/>
      <c r="N603" s="407"/>
      <c r="O603" s="407"/>
      <c r="P603" s="407"/>
      <c r="Q603" s="63"/>
      <c r="R603" s="64"/>
    </row>
    <row r="604" spans="1:20" x14ac:dyDescent="0.2">
      <c r="A604" s="83"/>
      <c r="B604" s="520"/>
      <c r="C604" s="520"/>
      <c r="D604" s="520"/>
      <c r="E604" s="520"/>
      <c r="F604" s="520"/>
      <c r="G604" s="520"/>
      <c r="H604" s="520"/>
      <c r="I604" s="520"/>
      <c r="J604" s="520"/>
      <c r="K604" s="520"/>
      <c r="L604" s="520"/>
      <c r="M604" s="520"/>
      <c r="N604" s="520"/>
      <c r="O604" s="520"/>
      <c r="P604" s="520"/>
      <c r="Q604" s="63"/>
      <c r="R604" s="64"/>
    </row>
    <row r="605" spans="1:20" x14ac:dyDescent="0.2">
      <c r="A605" s="83"/>
      <c r="B605" s="432" t="s">
        <v>117</v>
      </c>
      <c r="C605" s="433"/>
      <c r="D605" s="434"/>
      <c r="E605" s="442" t="str">
        <f>IF(AND($P$33&gt;=18,NOT(ISBLANK($E$10))),$E$10,"")</f>
        <v/>
      </c>
      <c r="F605" s="443"/>
      <c r="G605" s="444"/>
      <c r="H605" s="414" t="s">
        <v>124</v>
      </c>
      <c r="I605" s="415"/>
      <c r="J605" s="442" t="str">
        <f>IF(AND($P$33&gt;=18,NOT(ISBLANK($J$10))),$J$10,"")</f>
        <v/>
      </c>
      <c r="K605" s="443"/>
      <c r="L605" s="444"/>
      <c r="M605" s="414" t="s">
        <v>118</v>
      </c>
      <c r="N605" s="415"/>
      <c r="O605" s="430" t="str">
        <f>IF(AND($P$33&gt;=18,NOT(ISBLANK($O$10))),$O$10,"")</f>
        <v/>
      </c>
      <c r="P605" s="521"/>
      <c r="Q605" s="63"/>
      <c r="R605" s="545" t="s">
        <v>307</v>
      </c>
      <c r="S605" s="546"/>
      <c r="T605" s="547"/>
    </row>
    <row r="606" spans="1:20" x14ac:dyDescent="0.2">
      <c r="A606" s="83"/>
      <c r="B606" s="432" t="s">
        <v>240</v>
      </c>
      <c r="C606" s="433"/>
      <c r="D606" s="434"/>
      <c r="E606" s="435" t="str">
        <f>IF(NOT($N628=18),"",IF(ISERROR(LOOKUP(18,'Teacher Summary Sheet'!$M$19:$M$181)),"",IF(VLOOKUP(18,'Teacher Summary Sheet'!$M$19:$R$181,2)=0,"",VLOOKUP(18,'Teacher Summary Sheet'!$M$19:$R$181,2))))</f>
        <v/>
      </c>
      <c r="F606" s="436"/>
      <c r="G606" s="437"/>
      <c r="H606" s="438" t="s">
        <v>119</v>
      </c>
      <c r="I606" s="439"/>
      <c r="J606" s="102" t="str">
        <f>IF(NOT($N628=18),"",IF(ISERROR(LOOKUP(18,'Teacher Summary Sheet'!$M$19:$M$181)),"",IF(VLOOKUP(18,'Teacher Summary Sheet'!$M$19:$R$181,6)=0,"",VLOOKUP(18,'Teacher Summary Sheet'!$M$19:$R$181,6))))</f>
        <v/>
      </c>
      <c r="K606" s="414" t="s">
        <v>179</v>
      </c>
      <c r="L606" s="419"/>
      <c r="M606" s="415"/>
      <c r="N606" s="412" t="str">
        <f>IF(NOT($N628=18),"",IF(ISERROR(LOOKUP(18,'Teacher Summary Sheet'!$M$19:$M$181)),"",IF('Teacher Summary Sheet'!$F$31=0,"",'Teacher Summary Sheet'!$F$31)))</f>
        <v/>
      </c>
      <c r="O606" s="440"/>
      <c r="P606" s="413"/>
      <c r="Q606" s="63"/>
      <c r="R606" s="548"/>
      <c r="S606" s="549"/>
      <c r="T606" s="550"/>
    </row>
    <row r="607" spans="1:20" ht="14.25" x14ac:dyDescent="0.2">
      <c r="A607" s="83"/>
      <c r="B607" s="410" t="s">
        <v>241</v>
      </c>
      <c r="C607" s="420"/>
      <c r="D607" s="411"/>
      <c r="E607" s="421" t="str">
        <f>IF(NOT($N628=18),"",IF(ISERROR(LOOKUP(18,'Teacher Summary Sheet'!$M$19:$M$181)),"",IF(VLOOKUP(18,'Teacher Summary Sheet'!$M$19:$R$181,3)=0,"",VLOOKUP(18,'Teacher Summary Sheet'!$M$19:$R$181,3))))</f>
        <v/>
      </c>
      <c r="F607" s="422"/>
      <c r="G607" s="422"/>
      <c r="H607" s="422"/>
      <c r="I607" s="423"/>
      <c r="J607" s="414" t="s">
        <v>124</v>
      </c>
      <c r="K607" s="415"/>
      <c r="L607" s="424" t="str">
        <f>IF(NOT($N628=18),"",IF(ISERROR(LOOKUP(18,'Teacher Summary Sheet'!$M$19:$M$181)),"",IF(VLOOKUP(18,'Teacher Summary Sheet'!$M$19:$R$181,4)=0,"",VLOOKUP(18,'Teacher Summary Sheet'!$M$19:$R$181,4))))</f>
        <v/>
      </c>
      <c r="M607" s="425"/>
      <c r="N607" s="425"/>
      <c r="O607" s="425"/>
      <c r="P607" s="426"/>
      <c r="Q607" s="63"/>
      <c r="R607" s="125" t="str">
        <f>IF(NOT(N628=18),"",IF(COUNTIF(R609:R615,"P")=7,"P","O"))</f>
        <v/>
      </c>
      <c r="S607" s="110" t="str">
        <f>IF(NOT(N628=18),"",IF(COUNTIF(R609:R615,"P")=7,"Complete","Incomplete"))</f>
        <v/>
      </c>
      <c r="T607" s="111"/>
    </row>
    <row r="608" spans="1:20" x14ac:dyDescent="0.2">
      <c r="A608" s="83"/>
      <c r="B608" s="410" t="s">
        <v>120</v>
      </c>
      <c r="C608" s="420"/>
      <c r="D608" s="411"/>
      <c r="E608" s="427"/>
      <c r="F608" s="428"/>
      <c r="G608" s="428"/>
      <c r="H608" s="428"/>
      <c r="I608" s="428"/>
      <c r="J608" s="429"/>
      <c r="K608" s="62" t="s">
        <v>121</v>
      </c>
      <c r="L608" s="427"/>
      <c r="M608" s="428"/>
      <c r="N608" s="428"/>
      <c r="O608" s="428"/>
      <c r="P608" s="429"/>
      <c r="Q608" s="63"/>
    </row>
    <row r="609" spans="1:20" ht="14.25" x14ac:dyDescent="0.2">
      <c r="A609" s="83"/>
      <c r="B609" s="410" t="s">
        <v>196</v>
      </c>
      <c r="C609" s="420"/>
      <c r="D609" s="411"/>
      <c r="E609" s="427"/>
      <c r="F609" s="428"/>
      <c r="G609" s="428"/>
      <c r="H609" s="428"/>
      <c r="I609" s="429"/>
      <c r="J609" s="73" t="s">
        <v>197</v>
      </c>
      <c r="K609" s="405"/>
      <c r="L609" s="406"/>
      <c r="M609" s="414" t="s">
        <v>212</v>
      </c>
      <c r="N609" s="415"/>
      <c r="O609" s="405"/>
      <c r="P609" s="406"/>
      <c r="Q609" s="63"/>
      <c r="R609" s="124" t="str">
        <f>IF(NOT(N628=18),"",IF(OR(COUNTBLANK(E607:E607)=1,COUNTBLANK(L607:L607)=1),"O","P"))</f>
        <v/>
      </c>
      <c r="S609" s="108" t="str">
        <f>IF(NOT(N628=18),"","Candidate Name")</f>
        <v/>
      </c>
      <c r="T609" s="64"/>
    </row>
    <row r="610" spans="1:20" ht="14.25" x14ac:dyDescent="0.2">
      <c r="A610" s="83"/>
      <c r="B610" s="410" t="s">
        <v>198</v>
      </c>
      <c r="C610" s="420"/>
      <c r="D610" s="411"/>
      <c r="E610" s="454"/>
      <c r="F610" s="455"/>
      <c r="G610" s="455"/>
      <c r="H610" s="456"/>
      <c r="I610" s="74" t="s">
        <v>199</v>
      </c>
      <c r="J610" s="427"/>
      <c r="K610" s="428"/>
      <c r="L610" s="428"/>
      <c r="M610" s="428"/>
      <c r="N610" s="428"/>
      <c r="O610" s="428"/>
      <c r="P610" s="429"/>
      <c r="Q610" s="63"/>
      <c r="R610" s="124" t="str">
        <f>IF(NOT(N628=18),"",IF(COUNTBLANK(E606:E606)=1,"O","P"))</f>
        <v/>
      </c>
      <c r="S610" s="108" t="str">
        <f>IF(NOT(N628=18),"","Candidate ID")</f>
        <v/>
      </c>
      <c r="T610" s="64"/>
    </row>
    <row r="611" spans="1:20" ht="14.25" x14ac:dyDescent="0.2">
      <c r="A611" s="83"/>
      <c r="B611" s="410" t="s">
        <v>227</v>
      </c>
      <c r="C611" s="420"/>
      <c r="D611" s="411"/>
      <c r="E611" s="75" t="s">
        <v>218</v>
      </c>
      <c r="F611" s="405"/>
      <c r="G611" s="448"/>
      <c r="H611" s="75" t="s">
        <v>138</v>
      </c>
      <c r="I611" s="449"/>
      <c r="J611" s="450"/>
      <c r="K611" s="76" t="s">
        <v>139</v>
      </c>
      <c r="L611" s="451"/>
      <c r="M611" s="452"/>
      <c r="N611" s="76" t="s">
        <v>228</v>
      </c>
      <c r="O611" s="453" t="str">
        <f ca="1">IF(OR(ISBLANK(L611),ISBLANK(I611),ISBLANK(F611),COUNTBLANK(J606:J606)=1),"",IF(DATEDIF(DATE(L611,VLOOKUP(I611,data!$T$2:$U$13,2,FALSE),F611),IF(AND(TODAY()&lt;data!$AJ$12,TODAY()&gt;data!$AI$12),data!$AI$3,data!$AJ$3),"Y")&gt;=data!$AC$20,YEAR(TODAY())-L611,data!$AD$3))</f>
        <v/>
      </c>
      <c r="P611" s="413"/>
      <c r="Q611" s="63"/>
      <c r="R611" s="124" t="str">
        <f>IF(NOT(N628=18),"",IF(OR(ISBLANK(E608),ISBLANK(L608),ISBLANK(K609),ISBLANK(O609)),"O","P"))</f>
        <v/>
      </c>
      <c r="S611" s="108" t="str">
        <f>IF(NOT(N628=18),"","Address")</f>
        <v/>
      </c>
      <c r="T611" s="64"/>
    </row>
    <row r="612" spans="1:20" ht="15" thickBot="1" x14ac:dyDescent="0.25">
      <c r="A612" s="83"/>
      <c r="B612" s="410" t="s">
        <v>214</v>
      </c>
      <c r="C612" s="411"/>
      <c r="D612" s="412" t="str">
        <f>IF(NOT($N628=18),"",IF(ISERROR(LOOKUP(18,'Teacher Summary Sheet'!$M$19:$M$181)),"",IF(VLOOKUP(18,'Teacher Summary Sheet'!$M$19:$R$181,5)=0,"",VLOOKUP(18,'Teacher Summary Sheet'!$M$19:$R$181,5))))</f>
        <v/>
      </c>
      <c r="E612" s="413"/>
      <c r="F612" s="414" t="s">
        <v>319</v>
      </c>
      <c r="G612" s="415"/>
      <c r="H612" s="416"/>
      <c r="I612" s="417"/>
      <c r="J612" s="418"/>
      <c r="K612" s="414" t="s">
        <v>320</v>
      </c>
      <c r="L612" s="419"/>
      <c r="M612" s="419"/>
      <c r="N612" s="415"/>
      <c r="O612" s="405" t="s">
        <v>268</v>
      </c>
      <c r="P612" s="406"/>
      <c r="Q612" s="63"/>
      <c r="R612" s="124" t="str">
        <f>IF(NOT(N628=18),"",IF(OR(ISBLANK(F611),ISBLANK(I611),ISBLANK(L611)),"O","P"))</f>
        <v/>
      </c>
      <c r="S612" s="108" t="str">
        <f>IF(NOT(N628=18),"","Date of Birth")</f>
        <v/>
      </c>
      <c r="T612" s="64"/>
    </row>
    <row r="613" spans="1:20" ht="14.25" x14ac:dyDescent="0.2">
      <c r="A613" s="83"/>
      <c r="B613" s="522" t="s">
        <v>297</v>
      </c>
      <c r="C613" s="463"/>
      <c r="D613" s="463"/>
      <c r="E613" s="463"/>
      <c r="F613" s="463"/>
      <c r="G613" s="463"/>
      <c r="H613" s="463"/>
      <c r="I613" s="463"/>
      <c r="J613" s="463"/>
      <c r="K613" s="463"/>
      <c r="L613" s="463"/>
      <c r="M613" s="463"/>
      <c r="N613" s="463"/>
      <c r="O613" s="463"/>
      <c r="P613" s="464"/>
      <c r="Q613" s="63"/>
      <c r="R613" s="124" t="str">
        <f>IF(NOT(N628=18),"",IF(COUNTBLANK(J606:J606)=1,"O","P"))</f>
        <v/>
      </c>
      <c r="S613" s="112" t="str">
        <f>IF(NOT(N628=18),"","Exam Level")</f>
        <v/>
      </c>
      <c r="T613" s="64"/>
    </row>
    <row r="614" spans="1:20" ht="14.25" x14ac:dyDescent="0.2">
      <c r="A614" s="83"/>
      <c r="B614" s="465"/>
      <c r="C614" s="466"/>
      <c r="D614" s="466"/>
      <c r="E614" s="466"/>
      <c r="F614" s="466"/>
      <c r="G614" s="466"/>
      <c r="H614" s="466"/>
      <c r="I614" s="466"/>
      <c r="J614" s="466"/>
      <c r="K614" s="466"/>
      <c r="L614" s="466"/>
      <c r="M614" s="466"/>
      <c r="N614" s="466"/>
      <c r="O614" s="466"/>
      <c r="P614" s="467"/>
      <c r="Q614" s="63"/>
      <c r="R614" s="124" t="str">
        <f>IF(NOT(N628=18),"",IF(COUNTBLANK(D612:D612)=1,"O","P"))</f>
        <v/>
      </c>
      <c r="S614" s="109" t="str">
        <f>IF(NOT(N628=18),"","Gender")</f>
        <v/>
      </c>
      <c r="T614" s="64"/>
    </row>
    <row r="615" spans="1:20" ht="14.25" x14ac:dyDescent="0.2">
      <c r="A615" s="83"/>
      <c r="B615" s="432" t="s">
        <v>298</v>
      </c>
      <c r="C615" s="433"/>
      <c r="D615" s="434"/>
      <c r="E615" s="405"/>
      <c r="F615" s="406"/>
      <c r="G615" s="432" t="s">
        <v>299</v>
      </c>
      <c r="H615" s="433"/>
      <c r="I615" s="434"/>
      <c r="J615" s="405"/>
      <c r="K615" s="448"/>
      <c r="L615" s="406"/>
      <c r="M615" s="414" t="s">
        <v>300</v>
      </c>
      <c r="N615" s="415"/>
      <c r="O615" s="457"/>
      <c r="P615" s="458"/>
      <c r="Q615" s="63"/>
      <c r="R615" s="124" t="str">
        <f>IF(NOT(N628=18),"",IF(ISBLANK(H612),"O","P"))</f>
        <v/>
      </c>
      <c r="S615" s="109" t="str">
        <f>IF(NOT(N628=18),"","Height")</f>
        <v/>
      </c>
      <c r="T615" s="64"/>
    </row>
    <row r="616" spans="1:20" x14ac:dyDescent="0.2">
      <c r="A616" s="83"/>
      <c r="B616" s="77" t="s">
        <v>153</v>
      </c>
      <c r="C616" s="405"/>
      <c r="D616" s="406"/>
      <c r="E616" s="414" t="s">
        <v>301</v>
      </c>
      <c r="F616" s="415"/>
      <c r="G616" s="459"/>
      <c r="H616" s="460"/>
      <c r="I616" s="461"/>
      <c r="J616" s="414" t="s">
        <v>302</v>
      </c>
      <c r="K616" s="415"/>
      <c r="L616" s="454"/>
      <c r="M616" s="455"/>
      <c r="N616" s="455"/>
      <c r="O616" s="455"/>
      <c r="P616" s="456"/>
      <c r="Q616" s="63"/>
      <c r="R616" s="64"/>
      <c r="S616" s="64"/>
      <c r="T616" s="64"/>
    </row>
    <row r="617" spans="1:20" x14ac:dyDescent="0.2">
      <c r="A617" s="83"/>
      <c r="B617" s="410" t="s">
        <v>116</v>
      </c>
      <c r="C617" s="420"/>
      <c r="D617" s="420"/>
      <c r="E617" s="420"/>
      <c r="F617" s="420"/>
      <c r="G617" s="420"/>
      <c r="H617" s="420"/>
      <c r="I617" s="420"/>
      <c r="J617" s="420"/>
      <c r="K617" s="420"/>
      <c r="L617" s="420"/>
      <c r="M617" s="420"/>
      <c r="N617" s="420"/>
      <c r="O617" s="420"/>
      <c r="P617" s="411"/>
      <c r="Q617" s="63"/>
      <c r="R617" s="64"/>
      <c r="S617" s="64"/>
      <c r="T617" s="64"/>
    </row>
    <row r="618" spans="1:20" x14ac:dyDescent="0.2">
      <c r="A618" s="83"/>
      <c r="B618" s="410" t="s">
        <v>298</v>
      </c>
      <c r="C618" s="420"/>
      <c r="D618" s="411"/>
      <c r="E618" s="405"/>
      <c r="F618" s="406"/>
      <c r="G618" s="410" t="s">
        <v>299</v>
      </c>
      <c r="H618" s="420"/>
      <c r="I618" s="411"/>
      <c r="J618" s="454"/>
      <c r="K618" s="455"/>
      <c r="L618" s="456"/>
      <c r="M618" s="414" t="s">
        <v>300</v>
      </c>
      <c r="N618" s="415"/>
      <c r="O618" s="457"/>
      <c r="P618" s="458"/>
      <c r="Q618" s="63"/>
      <c r="R618" s="64"/>
    </row>
    <row r="619" spans="1:20" ht="13.5" thickBot="1" x14ac:dyDescent="0.25">
      <c r="A619" s="83"/>
      <c r="B619" s="78" t="s">
        <v>153</v>
      </c>
      <c r="C619" s="492"/>
      <c r="D619" s="493"/>
      <c r="E619" s="494" t="s">
        <v>301</v>
      </c>
      <c r="F619" s="495"/>
      <c r="G619" s="496"/>
      <c r="H619" s="497"/>
      <c r="I619" s="498"/>
      <c r="J619" s="414" t="s">
        <v>302</v>
      </c>
      <c r="K619" s="415"/>
      <c r="L619" s="454"/>
      <c r="M619" s="455"/>
      <c r="N619" s="455"/>
      <c r="O619" s="455"/>
      <c r="P619" s="456"/>
      <c r="Q619" s="63"/>
      <c r="R619" s="64"/>
    </row>
    <row r="620" spans="1:20" x14ac:dyDescent="0.2">
      <c r="A620" s="83"/>
      <c r="B620" s="499" t="s">
        <v>126</v>
      </c>
      <c r="C620" s="500"/>
      <c r="D620" s="500"/>
      <c r="E620" s="500"/>
      <c r="F620" s="500"/>
      <c r="G620" s="500"/>
      <c r="H620" s="500"/>
      <c r="I620" s="501"/>
      <c r="J620" s="505"/>
      <c r="K620" s="506"/>
      <c r="L620" s="506"/>
      <c r="M620" s="506"/>
      <c r="N620" s="506"/>
      <c r="O620" s="506"/>
      <c r="P620" s="507"/>
      <c r="Q620" s="63"/>
      <c r="R620" s="64"/>
    </row>
    <row r="621" spans="1:20" x14ac:dyDescent="0.2">
      <c r="A621" s="83"/>
      <c r="B621" s="502"/>
      <c r="C621" s="503"/>
      <c r="D621" s="503"/>
      <c r="E621" s="503"/>
      <c r="F621" s="503"/>
      <c r="G621" s="503"/>
      <c r="H621" s="503"/>
      <c r="I621" s="504"/>
      <c r="J621" s="508"/>
      <c r="K621" s="509"/>
      <c r="L621" s="509"/>
      <c r="M621" s="509"/>
      <c r="N621" s="509"/>
      <c r="O621" s="509"/>
      <c r="P621" s="510"/>
      <c r="Q621" s="63"/>
      <c r="R621" s="64"/>
    </row>
    <row r="622" spans="1:20" x14ac:dyDescent="0.2">
      <c r="A622" s="83"/>
      <c r="B622" s="514" t="s">
        <v>127</v>
      </c>
      <c r="C622" s="515"/>
      <c r="D622" s="515"/>
      <c r="E622" s="515"/>
      <c r="F622" s="515"/>
      <c r="G622" s="515"/>
      <c r="H622" s="515"/>
      <c r="I622" s="516"/>
      <c r="J622" s="508"/>
      <c r="K622" s="509"/>
      <c r="L622" s="509"/>
      <c r="M622" s="509"/>
      <c r="N622" s="509"/>
      <c r="O622" s="509"/>
      <c r="P622" s="510"/>
      <c r="Q622" s="63"/>
      <c r="R622" s="64"/>
    </row>
    <row r="623" spans="1:20" ht="13.5" thickBot="1" x14ac:dyDescent="0.25">
      <c r="A623" s="83"/>
      <c r="B623" s="517"/>
      <c r="C623" s="518"/>
      <c r="D623" s="518"/>
      <c r="E623" s="518"/>
      <c r="F623" s="518"/>
      <c r="G623" s="518"/>
      <c r="H623" s="518"/>
      <c r="I623" s="519"/>
      <c r="J623" s="511"/>
      <c r="K623" s="512"/>
      <c r="L623" s="512"/>
      <c r="M623" s="512"/>
      <c r="N623" s="512"/>
      <c r="O623" s="512"/>
      <c r="P623" s="513"/>
      <c r="Q623" s="63"/>
      <c r="R623" s="64"/>
    </row>
    <row r="624" spans="1:20" x14ac:dyDescent="0.2">
      <c r="A624" s="83"/>
      <c r="B624" s="480" t="s">
        <v>10</v>
      </c>
      <c r="C624" s="481"/>
      <c r="D624" s="481"/>
      <c r="E624" s="481"/>
      <c r="F624" s="481"/>
      <c r="G624" s="481"/>
      <c r="H624" s="481"/>
      <c r="I624" s="482"/>
      <c r="J624" s="79">
        <v>1</v>
      </c>
      <c r="K624" s="483"/>
      <c r="L624" s="484"/>
      <c r="M624" s="484"/>
      <c r="N624" s="484"/>
      <c r="O624" s="484"/>
      <c r="P624" s="485"/>
      <c r="Q624" s="63"/>
      <c r="R624" s="64"/>
    </row>
    <row r="625" spans="1:20" x14ac:dyDescent="0.2">
      <c r="A625" s="83"/>
      <c r="B625" s="486" t="s">
        <v>276</v>
      </c>
      <c r="C625" s="487"/>
      <c r="D625" s="487"/>
      <c r="E625" s="487"/>
      <c r="F625" s="487"/>
      <c r="G625" s="487"/>
      <c r="H625" s="487"/>
      <c r="I625" s="488"/>
      <c r="J625" s="80">
        <v>2</v>
      </c>
      <c r="K625" s="454"/>
      <c r="L625" s="455"/>
      <c r="M625" s="455"/>
      <c r="N625" s="455"/>
      <c r="O625" s="455"/>
      <c r="P625" s="456"/>
      <c r="Q625" s="63"/>
      <c r="R625" s="64"/>
    </row>
    <row r="626" spans="1:20" x14ac:dyDescent="0.2">
      <c r="A626" s="83"/>
      <c r="B626" s="489" t="s">
        <v>234</v>
      </c>
      <c r="C626" s="490"/>
      <c r="D626" s="490"/>
      <c r="E626" s="490"/>
      <c r="F626" s="490"/>
      <c r="G626" s="490"/>
      <c r="H626" s="490"/>
      <c r="I626" s="491"/>
      <c r="J626" s="80">
        <v>3</v>
      </c>
      <c r="K626" s="454"/>
      <c r="L626" s="455"/>
      <c r="M626" s="455"/>
      <c r="N626" s="455"/>
      <c r="O626" s="455"/>
      <c r="P626" s="456"/>
      <c r="Q626" s="63"/>
      <c r="R626" s="64"/>
    </row>
    <row r="627" spans="1:20" x14ac:dyDescent="0.2">
      <c r="A627" s="83"/>
      <c r="B627" s="468"/>
      <c r="C627" s="468"/>
      <c r="D627" s="468"/>
      <c r="E627" s="468"/>
      <c r="F627" s="468"/>
      <c r="G627" s="468"/>
      <c r="H627" s="468"/>
      <c r="I627" s="468"/>
      <c r="J627" s="468"/>
      <c r="K627" s="468"/>
      <c r="L627" s="468"/>
      <c r="M627" s="468"/>
      <c r="N627" s="468"/>
      <c r="O627" s="468"/>
      <c r="P627" s="468"/>
      <c r="Q627" s="63"/>
      <c r="R627" s="64"/>
    </row>
    <row r="628" spans="1:20" ht="12" customHeight="1" x14ac:dyDescent="0.2">
      <c r="A628" s="83"/>
      <c r="B628" s="469" t="s">
        <v>84</v>
      </c>
      <c r="C628" s="471" t="str">
        <f>IF(CODE(B628)=89,"This candidate would like to receive Special","This candidate would not like to receive Special")</f>
        <v>This candidate would like to receive Special</v>
      </c>
      <c r="D628" s="472"/>
      <c r="E628" s="472"/>
      <c r="F628" s="472"/>
      <c r="G628" s="472"/>
      <c r="H628" s="472"/>
      <c r="I628" s="473"/>
      <c r="J628" s="81"/>
      <c r="K628" s="474" t="s">
        <v>207</v>
      </c>
      <c r="L628" s="474"/>
      <c r="M628" s="475"/>
      <c r="N628" s="51" t="str">
        <f>IF($P$33&gt;=18,18,"")</f>
        <v/>
      </c>
      <c r="O628" s="62" t="s">
        <v>52</v>
      </c>
      <c r="P628" s="51" t="str">
        <f>IF($P$33&gt;=18,$P$33,"")</f>
        <v/>
      </c>
      <c r="Q628" s="63"/>
      <c r="R628" s="64"/>
    </row>
    <row r="629" spans="1:20" ht="12" customHeight="1" x14ac:dyDescent="0.2">
      <c r="A629" s="83"/>
      <c r="B629" s="470"/>
      <c r="C629" s="476" t="str">
        <f>IF(CODE(B628)=89,"Announcements and Bulletins from RAD Canada","Announcements and Bulletins from RAD Canada")</f>
        <v>Announcements and Bulletins from RAD Canada</v>
      </c>
      <c r="D629" s="477"/>
      <c r="E629" s="477"/>
      <c r="F629" s="477"/>
      <c r="G629" s="477"/>
      <c r="H629" s="477"/>
      <c r="I629" s="478"/>
      <c r="J629" s="479"/>
      <c r="K629" s="400"/>
      <c r="L629" s="400"/>
      <c r="M629" s="400"/>
      <c r="N629" s="400"/>
      <c r="O629" s="400"/>
      <c r="P629" s="400"/>
      <c r="Q629" s="63"/>
      <c r="R629" s="64"/>
    </row>
    <row r="630" spans="1:20" x14ac:dyDescent="0.2">
      <c r="A630" s="83"/>
      <c r="B630" s="400"/>
      <c r="C630" s="400"/>
      <c r="D630" s="400"/>
      <c r="E630" s="400"/>
      <c r="F630" s="400"/>
      <c r="G630" s="400"/>
      <c r="H630" s="400"/>
      <c r="I630" s="400"/>
      <c r="J630" s="400"/>
      <c r="K630" s="400"/>
      <c r="L630" s="400"/>
      <c r="M630" s="400"/>
      <c r="N630" s="400"/>
      <c r="O630" s="400"/>
      <c r="P630" s="400"/>
      <c r="Q630" s="63"/>
      <c r="R630" s="64"/>
    </row>
    <row r="631" spans="1:20" x14ac:dyDescent="0.2">
      <c r="A631" s="83"/>
      <c r="B631" s="62"/>
      <c r="C631" s="62"/>
      <c r="D631" s="62"/>
      <c r="E631" s="62"/>
      <c r="F631" s="62"/>
      <c r="G631" s="62"/>
      <c r="H631" s="62"/>
      <c r="I631" s="62"/>
      <c r="J631" s="62"/>
      <c r="K631" s="62"/>
      <c r="L631" s="62"/>
      <c r="M631" s="62"/>
      <c r="N631" s="62"/>
      <c r="O631" s="62"/>
      <c r="P631" s="62"/>
      <c r="Q631" s="63"/>
      <c r="R631" s="64"/>
    </row>
    <row r="632" spans="1:20" x14ac:dyDescent="0.2">
      <c r="A632" s="83"/>
      <c r="B632" s="401" t="s">
        <v>140</v>
      </c>
      <c r="C632" s="402"/>
      <c r="D632" s="402"/>
      <c r="E632" s="402"/>
      <c r="F632" s="402"/>
      <c r="G632" s="402"/>
      <c r="H632" s="62"/>
      <c r="I632" s="62"/>
      <c r="J632" s="62"/>
      <c r="K632" s="62"/>
      <c r="L632" s="62"/>
      <c r="M632" s="62"/>
      <c r="N632" s="62"/>
      <c r="O632" s="62"/>
      <c r="P632" s="62"/>
      <c r="Q632" s="63"/>
      <c r="R632" s="64"/>
    </row>
    <row r="633" spans="1:20" ht="15.75" x14ac:dyDescent="0.25">
      <c r="A633" s="83"/>
      <c r="B633" s="402"/>
      <c r="C633" s="402"/>
      <c r="D633" s="402"/>
      <c r="E633" s="402"/>
      <c r="F633" s="402"/>
      <c r="G633" s="402"/>
      <c r="H633" s="82"/>
      <c r="I633" s="403"/>
      <c r="J633" s="403"/>
      <c r="K633" s="403"/>
      <c r="L633" s="403"/>
      <c r="M633" s="403"/>
      <c r="N633" s="403"/>
      <c r="O633" s="403"/>
      <c r="P633" s="403"/>
      <c r="Q633" s="63"/>
      <c r="R633" s="64"/>
    </row>
    <row r="634" spans="1:20" x14ac:dyDescent="0.2">
      <c r="A634" s="83"/>
      <c r="B634" s="400"/>
      <c r="C634" s="400"/>
      <c r="D634" s="400"/>
      <c r="E634" s="400"/>
      <c r="F634" s="400"/>
      <c r="G634" s="400"/>
      <c r="H634" s="400"/>
      <c r="I634" s="400"/>
      <c r="J634" s="400"/>
      <c r="K634" s="400"/>
      <c r="L634" s="400"/>
      <c r="M634" s="403"/>
      <c r="N634" s="403"/>
      <c r="O634" s="403"/>
      <c r="P634" s="403"/>
      <c r="Q634" s="63"/>
      <c r="R634" s="64"/>
    </row>
    <row r="635" spans="1:20" x14ac:dyDescent="0.2">
      <c r="A635" s="83"/>
      <c r="B635" s="404" t="s">
        <v>260</v>
      </c>
      <c r="C635" s="404"/>
      <c r="D635" s="404"/>
      <c r="E635" s="404"/>
      <c r="F635" s="400"/>
      <c r="G635" s="400"/>
      <c r="H635" s="400"/>
      <c r="I635" s="400"/>
      <c r="J635" s="400"/>
      <c r="K635" s="400"/>
      <c r="L635" s="400"/>
      <c r="M635" s="403"/>
      <c r="N635" s="403"/>
      <c r="O635" s="403"/>
      <c r="P635" s="403"/>
      <c r="Q635" s="63"/>
      <c r="R635" s="64"/>
    </row>
    <row r="636" spans="1:20" x14ac:dyDescent="0.2">
      <c r="A636" s="83"/>
      <c r="B636" s="69"/>
      <c r="C636" s="324" t="s">
        <v>75</v>
      </c>
      <c r="D636" s="408"/>
      <c r="E636" s="409"/>
      <c r="F636" s="400"/>
      <c r="G636" s="400"/>
      <c r="H636" s="400"/>
      <c r="I636" s="400"/>
      <c r="J636" s="400"/>
      <c r="K636" s="400"/>
      <c r="L636" s="400"/>
      <c r="M636" s="70"/>
      <c r="N636" s="70"/>
      <c r="O636" s="70"/>
      <c r="P636" s="70"/>
      <c r="Q636" s="63"/>
      <c r="R636" s="64"/>
    </row>
    <row r="637" spans="1:20" x14ac:dyDescent="0.2">
      <c r="A637" s="83"/>
      <c r="B637" s="71"/>
      <c r="C637" s="324" t="s">
        <v>128</v>
      </c>
      <c r="D637" s="408"/>
      <c r="E637" s="409"/>
      <c r="F637" s="400"/>
      <c r="G637" s="400"/>
      <c r="H637" s="400"/>
      <c r="I637" s="400"/>
      <c r="J637" s="400"/>
      <c r="K637" s="400"/>
      <c r="L637" s="400"/>
      <c r="M637" s="407" t="s">
        <v>256</v>
      </c>
      <c r="N637" s="407"/>
      <c r="O637" s="407"/>
      <c r="P637" s="407"/>
      <c r="Q637" s="63"/>
      <c r="R637" s="64"/>
    </row>
    <row r="638" spans="1:20" x14ac:dyDescent="0.2">
      <c r="A638" s="83"/>
      <c r="B638" s="56"/>
      <c r="C638" s="324" t="s">
        <v>141</v>
      </c>
      <c r="D638" s="408"/>
      <c r="E638" s="409"/>
      <c r="F638" s="400"/>
      <c r="G638" s="400"/>
      <c r="H638" s="400"/>
      <c r="I638" s="400"/>
      <c r="J638" s="400"/>
      <c r="K638" s="400"/>
      <c r="L638" s="400"/>
      <c r="M638" s="407"/>
      <c r="N638" s="407"/>
      <c r="O638" s="407"/>
      <c r="P638" s="407"/>
      <c r="Q638" s="63"/>
      <c r="R638" s="64"/>
    </row>
    <row r="639" spans="1:20" x14ac:dyDescent="0.2">
      <c r="A639" s="83"/>
      <c r="B639" s="520"/>
      <c r="C639" s="520"/>
      <c r="D639" s="520"/>
      <c r="E639" s="520"/>
      <c r="F639" s="520"/>
      <c r="G639" s="520"/>
      <c r="H639" s="520"/>
      <c r="I639" s="520"/>
      <c r="J639" s="520"/>
      <c r="K639" s="520"/>
      <c r="L639" s="520"/>
      <c r="M639" s="520"/>
      <c r="N639" s="520"/>
      <c r="O639" s="520"/>
      <c r="P639" s="520"/>
      <c r="Q639" s="63"/>
      <c r="R639" s="64"/>
    </row>
    <row r="640" spans="1:20" x14ac:dyDescent="0.2">
      <c r="A640" s="83"/>
      <c r="B640" s="432" t="s">
        <v>117</v>
      </c>
      <c r="C640" s="433"/>
      <c r="D640" s="434"/>
      <c r="E640" s="442" t="str">
        <f>IF(AND($P$33&gt;=19,NOT(ISBLANK($E$10))),$E$10,"")</f>
        <v/>
      </c>
      <c r="F640" s="443"/>
      <c r="G640" s="444"/>
      <c r="H640" s="414" t="s">
        <v>124</v>
      </c>
      <c r="I640" s="415"/>
      <c r="J640" s="442" t="str">
        <f>IF(AND($P$33&gt;=19,NOT(ISBLANK($J$10))),$J$10,"")</f>
        <v/>
      </c>
      <c r="K640" s="443"/>
      <c r="L640" s="444"/>
      <c r="M640" s="414" t="s">
        <v>118</v>
      </c>
      <c r="N640" s="415"/>
      <c r="O640" s="430" t="str">
        <f>IF(AND($P$33&gt;=19,NOT(ISBLANK($O$10))),$O$10,"")</f>
        <v/>
      </c>
      <c r="P640" s="521"/>
      <c r="Q640" s="63"/>
      <c r="R640" s="545" t="s">
        <v>307</v>
      </c>
      <c r="S640" s="546"/>
      <c r="T640" s="547"/>
    </row>
    <row r="641" spans="1:20" x14ac:dyDescent="0.2">
      <c r="A641" s="83"/>
      <c r="B641" s="432" t="s">
        <v>240</v>
      </c>
      <c r="C641" s="433"/>
      <c r="D641" s="434"/>
      <c r="E641" s="435" t="str">
        <f>IF(NOT($N663=19),"",IF(ISERROR(LOOKUP(19,'Teacher Summary Sheet'!$M$19:$M$181)),"",IF(VLOOKUP(19,'Teacher Summary Sheet'!$M$19:$R$181,2)=0,"",VLOOKUP(19,'Teacher Summary Sheet'!$M$19:$R$181,2))))</f>
        <v/>
      </c>
      <c r="F641" s="436"/>
      <c r="G641" s="437"/>
      <c r="H641" s="438" t="s">
        <v>119</v>
      </c>
      <c r="I641" s="439"/>
      <c r="J641" s="102" t="str">
        <f>IF(NOT($N663=19),"",IF(ISERROR(LOOKUP(19,'Teacher Summary Sheet'!$M$19:$M$181)),"",IF(VLOOKUP(19,'Teacher Summary Sheet'!$M$19:$R$181,6)=0,"",VLOOKUP(19,'Teacher Summary Sheet'!$M$19:$R$181,6))))</f>
        <v/>
      </c>
      <c r="K641" s="414" t="s">
        <v>179</v>
      </c>
      <c r="L641" s="419"/>
      <c r="M641" s="415"/>
      <c r="N641" s="412" t="str">
        <f>IF(NOT($N663=19),"",IF(ISERROR(LOOKUP(199,'Teacher Summary Sheet'!$M$19:$M$181)),"",IF('Teacher Summary Sheet'!$F$31=0,"",'Teacher Summary Sheet'!$F$31)))</f>
        <v/>
      </c>
      <c r="O641" s="440"/>
      <c r="P641" s="413"/>
      <c r="Q641" s="63"/>
      <c r="R641" s="548"/>
      <c r="S641" s="549"/>
      <c r="T641" s="550"/>
    </row>
    <row r="642" spans="1:20" ht="14.25" x14ac:dyDescent="0.2">
      <c r="A642" s="83"/>
      <c r="B642" s="410" t="s">
        <v>241</v>
      </c>
      <c r="C642" s="420"/>
      <c r="D642" s="411"/>
      <c r="E642" s="421" t="str">
        <f>IF(NOT($N663=19),"",IF(ISERROR(LOOKUP(19,'Teacher Summary Sheet'!$M$19:$M$181)),"",IF(VLOOKUP(19,'Teacher Summary Sheet'!$M$19:$R$181,3)=0,"",VLOOKUP(19,'Teacher Summary Sheet'!$M$19:$R$181,3))))</f>
        <v/>
      </c>
      <c r="F642" s="422"/>
      <c r="G642" s="422"/>
      <c r="H642" s="422"/>
      <c r="I642" s="423"/>
      <c r="J642" s="414" t="s">
        <v>124</v>
      </c>
      <c r="K642" s="415"/>
      <c r="L642" s="424" t="str">
        <f>IF(NOT($N663=19),"",IF(ISERROR(LOOKUP(19,'Teacher Summary Sheet'!$M$19:$M$181)),"",IF(VLOOKUP(19,'Teacher Summary Sheet'!$M$19:$R$181,4)=0,"",VLOOKUP(19,'Teacher Summary Sheet'!$M$19:$R$181,4))))</f>
        <v/>
      </c>
      <c r="M642" s="425"/>
      <c r="N642" s="425"/>
      <c r="O642" s="425"/>
      <c r="P642" s="426"/>
      <c r="Q642" s="63"/>
      <c r="R642" s="125" t="str">
        <f>IF(NOT(N663=19),"",IF(COUNTIF(R644:R650,"P")=7,"P","O"))</f>
        <v/>
      </c>
      <c r="S642" s="110" t="str">
        <f>IF(NOT(N663=19),"",IF(COUNTIF(R644:R650,"P")=7,"Complete","Incomplete"))</f>
        <v/>
      </c>
      <c r="T642" s="111"/>
    </row>
    <row r="643" spans="1:20" x14ac:dyDescent="0.2">
      <c r="A643" s="83"/>
      <c r="B643" s="410" t="s">
        <v>120</v>
      </c>
      <c r="C643" s="420"/>
      <c r="D643" s="411"/>
      <c r="E643" s="427"/>
      <c r="F643" s="428"/>
      <c r="G643" s="428"/>
      <c r="H643" s="428"/>
      <c r="I643" s="428"/>
      <c r="J643" s="429"/>
      <c r="K643" s="62" t="s">
        <v>121</v>
      </c>
      <c r="L643" s="427"/>
      <c r="M643" s="428"/>
      <c r="N643" s="428"/>
      <c r="O643" s="428"/>
      <c r="P643" s="429"/>
      <c r="Q643" s="63"/>
    </row>
    <row r="644" spans="1:20" ht="14.25" x14ac:dyDescent="0.2">
      <c r="A644" s="83"/>
      <c r="B644" s="410" t="s">
        <v>196</v>
      </c>
      <c r="C644" s="420"/>
      <c r="D644" s="411"/>
      <c r="E644" s="427"/>
      <c r="F644" s="428"/>
      <c r="G644" s="428"/>
      <c r="H644" s="428"/>
      <c r="I644" s="429"/>
      <c r="J644" s="73" t="s">
        <v>197</v>
      </c>
      <c r="K644" s="405"/>
      <c r="L644" s="406"/>
      <c r="M644" s="414" t="s">
        <v>212</v>
      </c>
      <c r="N644" s="415"/>
      <c r="O644" s="405"/>
      <c r="P644" s="406"/>
      <c r="Q644" s="63"/>
      <c r="R644" s="124" t="str">
        <f>IF(NOT(N663=19),"",IF(OR(COUNTBLANK(E642:E642)=1,COUNTBLANK(L642:L642)=1),"O","P"))</f>
        <v/>
      </c>
      <c r="S644" s="108" t="str">
        <f>IF(NOT(N663=19),"","Candidate Name")</f>
        <v/>
      </c>
      <c r="T644" s="64"/>
    </row>
    <row r="645" spans="1:20" ht="14.25" x14ac:dyDescent="0.2">
      <c r="A645" s="83"/>
      <c r="B645" s="410" t="s">
        <v>198</v>
      </c>
      <c r="C645" s="420"/>
      <c r="D645" s="411"/>
      <c r="E645" s="454"/>
      <c r="F645" s="455"/>
      <c r="G645" s="455"/>
      <c r="H645" s="456"/>
      <c r="I645" s="74" t="s">
        <v>199</v>
      </c>
      <c r="J645" s="427"/>
      <c r="K645" s="428"/>
      <c r="L645" s="428"/>
      <c r="M645" s="428"/>
      <c r="N645" s="428"/>
      <c r="O645" s="428"/>
      <c r="P645" s="429"/>
      <c r="Q645" s="63"/>
      <c r="R645" s="124" t="str">
        <f>IF(NOT(N663=19),"",IF(COUNTBLANK(E641:E641)=1,"O","P"))</f>
        <v/>
      </c>
      <c r="S645" s="108" t="str">
        <f>IF(NOT(N663=19),"","Candidate ID")</f>
        <v/>
      </c>
      <c r="T645" s="64"/>
    </row>
    <row r="646" spans="1:20" ht="14.25" x14ac:dyDescent="0.2">
      <c r="A646" s="83"/>
      <c r="B646" s="410" t="s">
        <v>227</v>
      </c>
      <c r="C646" s="420"/>
      <c r="D646" s="411"/>
      <c r="E646" s="75" t="s">
        <v>218</v>
      </c>
      <c r="F646" s="405"/>
      <c r="G646" s="448"/>
      <c r="H646" s="75" t="s">
        <v>138</v>
      </c>
      <c r="I646" s="449"/>
      <c r="J646" s="450"/>
      <c r="K646" s="76" t="s">
        <v>139</v>
      </c>
      <c r="L646" s="451"/>
      <c r="M646" s="452"/>
      <c r="N646" s="76" t="s">
        <v>228</v>
      </c>
      <c r="O646" s="453" t="str">
        <f ca="1">IF(OR(ISBLANK(L646),ISBLANK(I646),ISBLANK(F646),COUNTBLANK(J641:J641)=1),"",IF(DATEDIF(DATE(L646,VLOOKUP(I646,data!$T$2:$U$13,2,FALSE),F646),IF(AND(TODAY()&lt;data!$AJ$12,TODAY()&gt;data!$AI$12),data!$AI$3,data!$AJ$3),"Y")&gt;=data!$AC$21,YEAR(TODAY())-L646,data!$AD$3))</f>
        <v/>
      </c>
      <c r="P646" s="413"/>
      <c r="Q646" s="63"/>
      <c r="R646" s="124" t="str">
        <f>IF(NOT(N663=19),"",IF(OR(ISBLANK(E643),ISBLANK(L643),ISBLANK(K644),ISBLANK(O644)),"O","P"))</f>
        <v/>
      </c>
      <c r="S646" s="108" t="str">
        <f>IF(NOT(N663=19),"","Address")</f>
        <v/>
      </c>
      <c r="T646" s="64"/>
    </row>
    <row r="647" spans="1:20" ht="15" thickBot="1" x14ac:dyDescent="0.25">
      <c r="A647" s="83"/>
      <c r="B647" s="410" t="s">
        <v>214</v>
      </c>
      <c r="C647" s="411"/>
      <c r="D647" s="412" t="str">
        <f>IF(NOT($N663=19),"",IF(ISERROR(LOOKUP(19,'Teacher Summary Sheet'!$M$19:$M$181)),"",IF(VLOOKUP(19,'Teacher Summary Sheet'!$M$19:$R$181,5)=0,"",VLOOKUP(19,'Teacher Summary Sheet'!$M$19:$R$181,5))))</f>
        <v/>
      </c>
      <c r="E647" s="413"/>
      <c r="F647" s="414" t="s">
        <v>319</v>
      </c>
      <c r="G647" s="415"/>
      <c r="H647" s="416"/>
      <c r="I647" s="417"/>
      <c r="J647" s="418"/>
      <c r="K647" s="414" t="s">
        <v>320</v>
      </c>
      <c r="L647" s="419"/>
      <c r="M647" s="419"/>
      <c r="N647" s="415"/>
      <c r="O647" s="405" t="s">
        <v>268</v>
      </c>
      <c r="P647" s="406"/>
      <c r="Q647" s="63"/>
      <c r="R647" s="124" t="str">
        <f>IF(NOT(N663=19),"",IF(OR(ISBLANK(F646),ISBLANK(I646),ISBLANK(L646)),"O","P"))</f>
        <v/>
      </c>
      <c r="S647" s="108" t="str">
        <f>IF(NOT(N663=19),"","Date of Birth")</f>
        <v/>
      </c>
      <c r="T647" s="64"/>
    </row>
    <row r="648" spans="1:20" ht="14.25" x14ac:dyDescent="0.2">
      <c r="A648" s="83"/>
      <c r="B648" s="522" t="s">
        <v>297</v>
      </c>
      <c r="C648" s="463"/>
      <c r="D648" s="463"/>
      <c r="E648" s="463"/>
      <c r="F648" s="463"/>
      <c r="G648" s="463"/>
      <c r="H648" s="463"/>
      <c r="I648" s="463"/>
      <c r="J648" s="463"/>
      <c r="K648" s="463"/>
      <c r="L648" s="463"/>
      <c r="M648" s="463"/>
      <c r="N648" s="463"/>
      <c r="O648" s="463"/>
      <c r="P648" s="464"/>
      <c r="Q648" s="63"/>
      <c r="R648" s="124" t="str">
        <f>IF(NOT(N663=19),"",IF(COUNTBLANK(J641:J641)=1,"O","P"))</f>
        <v/>
      </c>
      <c r="S648" s="112" t="str">
        <f>IF(NOT(N663=19),"","Exam Level")</f>
        <v/>
      </c>
      <c r="T648" s="64"/>
    </row>
    <row r="649" spans="1:20" ht="14.25" x14ac:dyDescent="0.2">
      <c r="A649" s="83"/>
      <c r="B649" s="465"/>
      <c r="C649" s="466"/>
      <c r="D649" s="466"/>
      <c r="E649" s="466"/>
      <c r="F649" s="466"/>
      <c r="G649" s="466"/>
      <c r="H649" s="466"/>
      <c r="I649" s="466"/>
      <c r="J649" s="466"/>
      <c r="K649" s="466"/>
      <c r="L649" s="466"/>
      <c r="M649" s="466"/>
      <c r="N649" s="466"/>
      <c r="O649" s="466"/>
      <c r="P649" s="467"/>
      <c r="Q649" s="63"/>
      <c r="R649" s="124" t="str">
        <f>IF(NOT(N663=19),"",IF(COUNTBLANK(D647:D647)=1,"O","P"))</f>
        <v/>
      </c>
      <c r="S649" s="109" t="str">
        <f>IF(NOT(N663=19),"","Gender")</f>
        <v/>
      </c>
      <c r="T649" s="64"/>
    </row>
    <row r="650" spans="1:20" ht="14.25" x14ac:dyDescent="0.2">
      <c r="A650" s="83"/>
      <c r="B650" s="432" t="s">
        <v>298</v>
      </c>
      <c r="C650" s="433"/>
      <c r="D650" s="434"/>
      <c r="E650" s="405"/>
      <c r="F650" s="406"/>
      <c r="G650" s="432" t="s">
        <v>299</v>
      </c>
      <c r="H650" s="433"/>
      <c r="I650" s="434"/>
      <c r="J650" s="405"/>
      <c r="K650" s="448"/>
      <c r="L650" s="406"/>
      <c r="M650" s="414" t="s">
        <v>300</v>
      </c>
      <c r="N650" s="415"/>
      <c r="O650" s="457"/>
      <c r="P650" s="458"/>
      <c r="Q650" s="63"/>
      <c r="R650" s="124" t="str">
        <f>IF(NOT(N663=19),"",IF(ISBLANK(H647),"O","P"))</f>
        <v/>
      </c>
      <c r="S650" s="109" t="str">
        <f>IF(NOT(N663=19),"","Height")</f>
        <v/>
      </c>
      <c r="T650" s="64"/>
    </row>
    <row r="651" spans="1:20" x14ac:dyDescent="0.2">
      <c r="A651" s="83"/>
      <c r="B651" s="77" t="s">
        <v>153</v>
      </c>
      <c r="C651" s="405"/>
      <c r="D651" s="406"/>
      <c r="E651" s="414" t="s">
        <v>301</v>
      </c>
      <c r="F651" s="415"/>
      <c r="G651" s="459"/>
      <c r="H651" s="460"/>
      <c r="I651" s="461"/>
      <c r="J651" s="414" t="s">
        <v>302</v>
      </c>
      <c r="K651" s="415"/>
      <c r="L651" s="454"/>
      <c r="M651" s="455"/>
      <c r="N651" s="455"/>
      <c r="O651" s="455"/>
      <c r="P651" s="456"/>
      <c r="Q651" s="63"/>
      <c r="R651" s="64"/>
      <c r="S651" s="64"/>
      <c r="T651" s="64"/>
    </row>
    <row r="652" spans="1:20" x14ac:dyDescent="0.2">
      <c r="A652" s="83"/>
      <c r="B652" s="410" t="s">
        <v>116</v>
      </c>
      <c r="C652" s="420"/>
      <c r="D652" s="420"/>
      <c r="E652" s="420"/>
      <c r="F652" s="420"/>
      <c r="G652" s="420"/>
      <c r="H652" s="420"/>
      <c r="I652" s="420"/>
      <c r="J652" s="420"/>
      <c r="K652" s="420"/>
      <c r="L652" s="420"/>
      <c r="M652" s="420"/>
      <c r="N652" s="420"/>
      <c r="O652" s="420"/>
      <c r="P652" s="411"/>
      <c r="Q652" s="63"/>
      <c r="R652" s="64"/>
      <c r="S652" s="64"/>
      <c r="T652" s="64"/>
    </row>
    <row r="653" spans="1:20" x14ac:dyDescent="0.2">
      <c r="A653" s="83"/>
      <c r="B653" s="410" t="s">
        <v>298</v>
      </c>
      <c r="C653" s="420"/>
      <c r="D653" s="411"/>
      <c r="E653" s="405"/>
      <c r="F653" s="406"/>
      <c r="G653" s="410" t="s">
        <v>299</v>
      </c>
      <c r="H653" s="420"/>
      <c r="I653" s="411"/>
      <c r="J653" s="454"/>
      <c r="K653" s="455"/>
      <c r="L653" s="456"/>
      <c r="M653" s="414" t="s">
        <v>300</v>
      </c>
      <c r="N653" s="415"/>
      <c r="O653" s="457"/>
      <c r="P653" s="458"/>
      <c r="Q653" s="63"/>
      <c r="R653" s="64"/>
    </row>
    <row r="654" spans="1:20" ht="13.5" thickBot="1" x14ac:dyDescent="0.25">
      <c r="A654" s="83"/>
      <c r="B654" s="78" t="s">
        <v>153</v>
      </c>
      <c r="C654" s="492"/>
      <c r="D654" s="493"/>
      <c r="E654" s="494" t="s">
        <v>301</v>
      </c>
      <c r="F654" s="495"/>
      <c r="G654" s="496"/>
      <c r="H654" s="497"/>
      <c r="I654" s="498"/>
      <c r="J654" s="414" t="s">
        <v>302</v>
      </c>
      <c r="K654" s="415"/>
      <c r="L654" s="454"/>
      <c r="M654" s="455"/>
      <c r="N654" s="455"/>
      <c r="O654" s="455"/>
      <c r="P654" s="456"/>
      <c r="Q654" s="63"/>
      <c r="R654" s="64"/>
    </row>
    <row r="655" spans="1:20" x14ac:dyDescent="0.2">
      <c r="A655" s="83"/>
      <c r="B655" s="499" t="s">
        <v>126</v>
      </c>
      <c r="C655" s="500"/>
      <c r="D655" s="500"/>
      <c r="E655" s="500"/>
      <c r="F655" s="500"/>
      <c r="G655" s="500"/>
      <c r="H655" s="500"/>
      <c r="I655" s="501"/>
      <c r="J655" s="505"/>
      <c r="K655" s="506"/>
      <c r="L655" s="506"/>
      <c r="M655" s="506"/>
      <c r="N655" s="506"/>
      <c r="O655" s="506"/>
      <c r="P655" s="507"/>
      <c r="Q655" s="63"/>
      <c r="R655" s="64"/>
    </row>
    <row r="656" spans="1:20" x14ac:dyDescent="0.2">
      <c r="A656" s="83"/>
      <c r="B656" s="502"/>
      <c r="C656" s="503"/>
      <c r="D656" s="503"/>
      <c r="E656" s="503"/>
      <c r="F656" s="503"/>
      <c r="G656" s="503"/>
      <c r="H656" s="503"/>
      <c r="I656" s="504"/>
      <c r="J656" s="508"/>
      <c r="K656" s="509"/>
      <c r="L656" s="509"/>
      <c r="M656" s="509"/>
      <c r="N656" s="509"/>
      <c r="O656" s="509"/>
      <c r="P656" s="510"/>
      <c r="Q656" s="63"/>
      <c r="R656" s="64"/>
    </row>
    <row r="657" spans="1:18" x14ac:dyDescent="0.2">
      <c r="A657" s="83"/>
      <c r="B657" s="514" t="s">
        <v>127</v>
      </c>
      <c r="C657" s="515"/>
      <c r="D657" s="515"/>
      <c r="E657" s="515"/>
      <c r="F657" s="515"/>
      <c r="G657" s="515"/>
      <c r="H657" s="515"/>
      <c r="I657" s="516"/>
      <c r="J657" s="508"/>
      <c r="K657" s="509"/>
      <c r="L657" s="509"/>
      <c r="M657" s="509"/>
      <c r="N657" s="509"/>
      <c r="O657" s="509"/>
      <c r="P657" s="510"/>
      <c r="Q657" s="63"/>
      <c r="R657" s="64"/>
    </row>
    <row r="658" spans="1:18" ht="13.5" thickBot="1" x14ac:dyDescent="0.25">
      <c r="A658" s="83"/>
      <c r="B658" s="517"/>
      <c r="C658" s="518"/>
      <c r="D658" s="518"/>
      <c r="E658" s="518"/>
      <c r="F658" s="518"/>
      <c r="G658" s="518"/>
      <c r="H658" s="518"/>
      <c r="I658" s="519"/>
      <c r="J658" s="511"/>
      <c r="K658" s="512"/>
      <c r="L658" s="512"/>
      <c r="M658" s="512"/>
      <c r="N658" s="512"/>
      <c r="O658" s="512"/>
      <c r="P658" s="513"/>
      <c r="Q658" s="63"/>
      <c r="R658" s="64"/>
    </row>
    <row r="659" spans="1:18" x14ac:dyDescent="0.2">
      <c r="A659" s="83"/>
      <c r="B659" s="480" t="s">
        <v>10</v>
      </c>
      <c r="C659" s="481"/>
      <c r="D659" s="481"/>
      <c r="E659" s="481"/>
      <c r="F659" s="481"/>
      <c r="G659" s="481"/>
      <c r="H659" s="481"/>
      <c r="I659" s="482"/>
      <c r="J659" s="79">
        <v>1</v>
      </c>
      <c r="K659" s="483"/>
      <c r="L659" s="484"/>
      <c r="M659" s="484"/>
      <c r="N659" s="484"/>
      <c r="O659" s="484"/>
      <c r="P659" s="485"/>
      <c r="Q659" s="63"/>
      <c r="R659" s="64"/>
    </row>
    <row r="660" spans="1:18" x14ac:dyDescent="0.2">
      <c r="A660" s="83"/>
      <c r="B660" s="486" t="s">
        <v>276</v>
      </c>
      <c r="C660" s="487"/>
      <c r="D660" s="487"/>
      <c r="E660" s="487"/>
      <c r="F660" s="487"/>
      <c r="G660" s="487"/>
      <c r="H660" s="487"/>
      <c r="I660" s="488"/>
      <c r="J660" s="80">
        <v>2</v>
      </c>
      <c r="K660" s="454"/>
      <c r="L660" s="455"/>
      <c r="M660" s="455"/>
      <c r="N660" s="455"/>
      <c r="O660" s="455"/>
      <c r="P660" s="456"/>
      <c r="Q660" s="63"/>
      <c r="R660" s="64"/>
    </row>
    <row r="661" spans="1:18" x14ac:dyDescent="0.2">
      <c r="A661" s="83"/>
      <c r="B661" s="489" t="s">
        <v>234</v>
      </c>
      <c r="C661" s="490"/>
      <c r="D661" s="490"/>
      <c r="E661" s="490"/>
      <c r="F661" s="490"/>
      <c r="G661" s="490"/>
      <c r="H661" s="490"/>
      <c r="I661" s="491"/>
      <c r="J661" s="80">
        <v>3</v>
      </c>
      <c r="K661" s="454"/>
      <c r="L661" s="455"/>
      <c r="M661" s="455"/>
      <c r="N661" s="455"/>
      <c r="O661" s="455"/>
      <c r="P661" s="456"/>
      <c r="Q661" s="63"/>
      <c r="R661" s="64"/>
    </row>
    <row r="662" spans="1:18" x14ac:dyDescent="0.2">
      <c r="A662" s="83"/>
      <c r="B662" s="468"/>
      <c r="C662" s="468"/>
      <c r="D662" s="468"/>
      <c r="E662" s="468"/>
      <c r="F662" s="468"/>
      <c r="G662" s="468"/>
      <c r="H662" s="468"/>
      <c r="I662" s="468"/>
      <c r="J662" s="468"/>
      <c r="K662" s="468"/>
      <c r="L662" s="468"/>
      <c r="M662" s="468"/>
      <c r="N662" s="468"/>
      <c r="O662" s="468"/>
      <c r="P662" s="468"/>
      <c r="Q662" s="63"/>
      <c r="R662" s="64"/>
    </row>
    <row r="663" spans="1:18" ht="12" customHeight="1" x14ac:dyDescent="0.2">
      <c r="A663" s="83"/>
      <c r="B663" s="469" t="s">
        <v>84</v>
      </c>
      <c r="C663" s="471" t="str">
        <f>IF(CODE(B663)=89,"This candidate would like to receive Special","This candidate would not like to receive Special")</f>
        <v>This candidate would like to receive Special</v>
      </c>
      <c r="D663" s="472"/>
      <c r="E663" s="472"/>
      <c r="F663" s="472"/>
      <c r="G663" s="472"/>
      <c r="H663" s="472"/>
      <c r="I663" s="473"/>
      <c r="J663" s="81"/>
      <c r="K663" s="474" t="s">
        <v>294</v>
      </c>
      <c r="L663" s="474"/>
      <c r="M663" s="475"/>
      <c r="N663" s="51" t="str">
        <f>IF($P$33&gt;=19,19,"")</f>
        <v/>
      </c>
      <c r="O663" s="62" t="s">
        <v>52</v>
      </c>
      <c r="P663" s="51" t="str">
        <f>IF($P$33&gt;=19,$P$33,"")</f>
        <v/>
      </c>
      <c r="Q663" s="63"/>
      <c r="R663" s="64"/>
    </row>
    <row r="664" spans="1:18" ht="12" customHeight="1" x14ac:dyDescent="0.2">
      <c r="A664" s="83"/>
      <c r="B664" s="470"/>
      <c r="C664" s="476" t="str">
        <f>IF(CODE(B663)=89,"Announcements and Bulletins from RAD Canada","Announcements and Bulletins from RAD Canada")</f>
        <v>Announcements and Bulletins from RAD Canada</v>
      </c>
      <c r="D664" s="477"/>
      <c r="E664" s="477"/>
      <c r="F664" s="477"/>
      <c r="G664" s="477"/>
      <c r="H664" s="477"/>
      <c r="I664" s="478"/>
      <c r="J664" s="479"/>
      <c r="K664" s="400"/>
      <c r="L664" s="400"/>
      <c r="M664" s="400"/>
      <c r="N664" s="400"/>
      <c r="O664" s="400"/>
      <c r="P664" s="400"/>
      <c r="Q664" s="63"/>
      <c r="R664" s="64"/>
    </row>
    <row r="665" spans="1:18" x14ac:dyDescent="0.2">
      <c r="A665" s="83"/>
      <c r="B665" s="400"/>
      <c r="C665" s="400"/>
      <c r="D665" s="400"/>
      <c r="E665" s="400"/>
      <c r="F665" s="400"/>
      <c r="G665" s="400"/>
      <c r="H665" s="400"/>
      <c r="I665" s="400"/>
      <c r="J665" s="400"/>
      <c r="K665" s="400"/>
      <c r="L665" s="400"/>
      <c r="M665" s="400"/>
      <c r="N665" s="400"/>
      <c r="O665" s="400"/>
      <c r="P665" s="400"/>
      <c r="Q665" s="63"/>
      <c r="R665" s="64"/>
    </row>
    <row r="666" spans="1:18" x14ac:dyDescent="0.2">
      <c r="A666" s="83"/>
      <c r="B666" s="62"/>
      <c r="C666" s="62"/>
      <c r="D666" s="62"/>
      <c r="E666" s="62"/>
      <c r="F666" s="62"/>
      <c r="G666" s="62"/>
      <c r="H666" s="62"/>
      <c r="I666" s="62"/>
      <c r="J666" s="62"/>
      <c r="K666" s="62"/>
      <c r="L666" s="62"/>
      <c r="M666" s="62"/>
      <c r="N666" s="62"/>
      <c r="O666" s="62"/>
      <c r="P666" s="62"/>
      <c r="Q666" s="63"/>
      <c r="R666" s="64"/>
    </row>
    <row r="667" spans="1:18" x14ac:dyDescent="0.2">
      <c r="A667" s="83"/>
      <c r="B667" s="401" t="s">
        <v>281</v>
      </c>
      <c r="C667" s="402"/>
      <c r="D667" s="402"/>
      <c r="E667" s="402"/>
      <c r="F667" s="402"/>
      <c r="G667" s="402"/>
      <c r="H667" s="62"/>
      <c r="I667" s="62"/>
      <c r="J667" s="62"/>
      <c r="K667" s="62"/>
      <c r="L667" s="62"/>
      <c r="M667" s="62"/>
      <c r="N667" s="62"/>
      <c r="O667" s="62"/>
      <c r="P667" s="62"/>
      <c r="Q667" s="63"/>
      <c r="R667" s="64"/>
    </row>
    <row r="668" spans="1:18" ht="15.75" x14ac:dyDescent="0.25">
      <c r="A668" s="83"/>
      <c r="B668" s="402"/>
      <c r="C668" s="402"/>
      <c r="D668" s="402"/>
      <c r="E668" s="402"/>
      <c r="F668" s="402"/>
      <c r="G668" s="402"/>
      <c r="H668" s="82"/>
      <c r="I668" s="403"/>
      <c r="J668" s="403"/>
      <c r="K668" s="403"/>
      <c r="L668" s="403"/>
      <c r="M668" s="403"/>
      <c r="N668" s="403"/>
      <c r="O668" s="403"/>
      <c r="P668" s="403"/>
      <c r="Q668" s="63"/>
      <c r="R668" s="64"/>
    </row>
    <row r="669" spans="1:18" x14ac:dyDescent="0.2">
      <c r="A669" s="83"/>
      <c r="B669" s="400"/>
      <c r="C669" s="400"/>
      <c r="D669" s="400"/>
      <c r="E669" s="400"/>
      <c r="F669" s="400"/>
      <c r="G669" s="400"/>
      <c r="H669" s="400"/>
      <c r="I669" s="400"/>
      <c r="J669" s="400"/>
      <c r="K669" s="400"/>
      <c r="L669" s="400"/>
      <c r="M669" s="403"/>
      <c r="N669" s="403"/>
      <c r="O669" s="403"/>
      <c r="P669" s="403"/>
      <c r="Q669" s="63"/>
      <c r="R669" s="64"/>
    </row>
    <row r="670" spans="1:18" x14ac:dyDescent="0.2">
      <c r="A670" s="83"/>
      <c r="B670" s="404" t="s">
        <v>260</v>
      </c>
      <c r="C670" s="404"/>
      <c r="D670" s="404"/>
      <c r="E670" s="404"/>
      <c r="F670" s="400"/>
      <c r="G670" s="400"/>
      <c r="H670" s="400"/>
      <c r="I670" s="400"/>
      <c r="J670" s="400"/>
      <c r="K670" s="400"/>
      <c r="L670" s="400"/>
      <c r="M670" s="403"/>
      <c r="N670" s="403"/>
      <c r="O670" s="403"/>
      <c r="P670" s="403"/>
      <c r="Q670" s="63"/>
      <c r="R670" s="64"/>
    </row>
    <row r="671" spans="1:18" x14ac:dyDescent="0.2">
      <c r="A671" s="83"/>
      <c r="B671" s="69"/>
      <c r="C671" s="324" t="s">
        <v>75</v>
      </c>
      <c r="D671" s="408"/>
      <c r="E671" s="409"/>
      <c r="F671" s="400"/>
      <c r="G671" s="400"/>
      <c r="H671" s="400"/>
      <c r="I671" s="400"/>
      <c r="J671" s="400"/>
      <c r="K671" s="400"/>
      <c r="L671" s="400"/>
      <c r="M671" s="70"/>
      <c r="N671" s="70"/>
      <c r="O671" s="70"/>
      <c r="P671" s="70"/>
      <c r="Q671" s="63"/>
      <c r="R671" s="64"/>
    </row>
    <row r="672" spans="1:18" x14ac:dyDescent="0.2">
      <c r="A672" s="83"/>
      <c r="B672" s="71"/>
      <c r="C672" s="324" t="s">
        <v>128</v>
      </c>
      <c r="D672" s="408"/>
      <c r="E672" s="409"/>
      <c r="F672" s="400"/>
      <c r="G672" s="400"/>
      <c r="H672" s="400"/>
      <c r="I672" s="400"/>
      <c r="J672" s="400"/>
      <c r="K672" s="400"/>
      <c r="L672" s="400"/>
      <c r="M672" s="407" t="s">
        <v>256</v>
      </c>
      <c r="N672" s="407"/>
      <c r="O672" s="407"/>
      <c r="P672" s="407"/>
      <c r="Q672" s="63"/>
      <c r="R672" s="64"/>
    </row>
    <row r="673" spans="1:20" x14ac:dyDescent="0.2">
      <c r="A673" s="83"/>
      <c r="B673" s="56"/>
      <c r="C673" s="324" t="s">
        <v>282</v>
      </c>
      <c r="D673" s="408"/>
      <c r="E673" s="409"/>
      <c r="F673" s="400"/>
      <c r="G673" s="400"/>
      <c r="H673" s="400"/>
      <c r="I673" s="400"/>
      <c r="J673" s="400"/>
      <c r="K673" s="400"/>
      <c r="L673" s="400"/>
      <c r="M673" s="407"/>
      <c r="N673" s="407"/>
      <c r="O673" s="407"/>
      <c r="P673" s="407"/>
      <c r="Q673" s="63"/>
      <c r="R673" s="64"/>
    </row>
    <row r="674" spans="1:20" x14ac:dyDescent="0.2">
      <c r="A674" s="83"/>
      <c r="B674" s="520"/>
      <c r="C674" s="520"/>
      <c r="D674" s="520"/>
      <c r="E674" s="520"/>
      <c r="F674" s="520"/>
      <c r="G674" s="520"/>
      <c r="H674" s="520"/>
      <c r="I674" s="520"/>
      <c r="J674" s="520"/>
      <c r="K674" s="520"/>
      <c r="L674" s="520"/>
      <c r="M674" s="520"/>
      <c r="N674" s="520"/>
      <c r="O674" s="520"/>
      <c r="P674" s="520"/>
      <c r="Q674" s="63"/>
      <c r="R674" s="64"/>
    </row>
    <row r="675" spans="1:20" x14ac:dyDescent="0.2">
      <c r="A675" s="83"/>
      <c r="B675" s="432" t="s">
        <v>117</v>
      </c>
      <c r="C675" s="433"/>
      <c r="D675" s="434"/>
      <c r="E675" s="442" t="str">
        <f>IF(AND($P$33&gt;=20,NOT(ISBLANK($E$10))),$E$10,"")</f>
        <v/>
      </c>
      <c r="F675" s="443"/>
      <c r="G675" s="444"/>
      <c r="H675" s="414" t="s">
        <v>124</v>
      </c>
      <c r="I675" s="415"/>
      <c r="J675" s="442" t="str">
        <f>IF(AND($P$33&gt;=20,NOT(ISBLANK($J$10))),$J$10,"")</f>
        <v/>
      </c>
      <c r="K675" s="443"/>
      <c r="L675" s="444"/>
      <c r="M675" s="414" t="s">
        <v>118</v>
      </c>
      <c r="N675" s="415"/>
      <c r="O675" s="430" t="str">
        <f>IF(AND($P$33&gt;=20,NOT(ISBLANK($O$10))),$O$10,"")</f>
        <v/>
      </c>
      <c r="P675" s="521"/>
      <c r="Q675" s="63"/>
      <c r="R675" s="545" t="s">
        <v>307</v>
      </c>
      <c r="S675" s="546"/>
      <c r="T675" s="547"/>
    </row>
    <row r="676" spans="1:20" x14ac:dyDescent="0.2">
      <c r="A676" s="83"/>
      <c r="B676" s="432" t="s">
        <v>240</v>
      </c>
      <c r="C676" s="433"/>
      <c r="D676" s="434"/>
      <c r="E676" s="435" t="str">
        <f>IF(NOT($N698=20),"",IF(ISERROR(LOOKUP(20,'Teacher Summary Sheet'!$M$19:$M$181)),"",IF(VLOOKUP(20,'Teacher Summary Sheet'!$M$19:$R$181,2)=0,"",VLOOKUP(20,'Teacher Summary Sheet'!$M$19:$R$181,2))))</f>
        <v/>
      </c>
      <c r="F676" s="436"/>
      <c r="G676" s="437"/>
      <c r="H676" s="438" t="s">
        <v>119</v>
      </c>
      <c r="I676" s="439"/>
      <c r="J676" s="102" t="str">
        <f>IF(NOT($N698=20),"",IF(ISERROR(LOOKUP(20,'Teacher Summary Sheet'!$M$19:$M$181)),"",IF(VLOOKUP(20,'Teacher Summary Sheet'!$M$19:$R$181,6)=0,"",VLOOKUP(20,'Teacher Summary Sheet'!$M$19:$R$181,6))))</f>
        <v/>
      </c>
      <c r="K676" s="414" t="s">
        <v>179</v>
      </c>
      <c r="L676" s="419"/>
      <c r="M676" s="415"/>
      <c r="N676" s="412" t="str">
        <f>IF(NOT($N698=20),"",IF(ISERROR(LOOKUP(20,'Teacher Summary Sheet'!$M$19:$M$181)),"",IF('Teacher Summary Sheet'!$F$31=0,"",'Teacher Summary Sheet'!$F$31)))</f>
        <v/>
      </c>
      <c r="O676" s="440"/>
      <c r="P676" s="413"/>
      <c r="Q676" s="63"/>
      <c r="R676" s="548"/>
      <c r="S676" s="549"/>
      <c r="T676" s="550"/>
    </row>
    <row r="677" spans="1:20" ht="14.25" x14ac:dyDescent="0.2">
      <c r="A677" s="83"/>
      <c r="B677" s="410" t="s">
        <v>241</v>
      </c>
      <c r="C677" s="420"/>
      <c r="D677" s="411"/>
      <c r="E677" s="421" t="str">
        <f>IF(NOT($N698=20),"",IF(ISERROR(LOOKUP(20,'Teacher Summary Sheet'!$M$19:$M$181)),"",IF(VLOOKUP(20,'Teacher Summary Sheet'!$M$19:$R$181,3)=0,"",VLOOKUP(20,'Teacher Summary Sheet'!$M$19:$R$181,3))))</f>
        <v/>
      </c>
      <c r="F677" s="422"/>
      <c r="G677" s="422"/>
      <c r="H677" s="422"/>
      <c r="I677" s="423"/>
      <c r="J677" s="414" t="s">
        <v>124</v>
      </c>
      <c r="K677" s="415"/>
      <c r="L677" s="424" t="str">
        <f>IF(NOT($N698=20),"",IF(ISERROR(LOOKUP(20,'Teacher Summary Sheet'!$M$19:$M$181)),"",IF(VLOOKUP(20,'Teacher Summary Sheet'!$M$19:$R$181,4)=0,"",VLOOKUP(20,'Teacher Summary Sheet'!$M$19:$R$181,4))))</f>
        <v/>
      </c>
      <c r="M677" s="425"/>
      <c r="N677" s="425"/>
      <c r="O677" s="425"/>
      <c r="P677" s="426"/>
      <c r="Q677" s="63"/>
      <c r="R677" s="125" t="str">
        <f>IF(NOT(N698=20),"",IF(COUNTIF(R679:R685,"P")=7,"P","O"))</f>
        <v/>
      </c>
      <c r="S677" s="110" t="str">
        <f>IF(NOT(N698=20),"",IF(COUNTIF(R679:R685,"P")=7,"Complete","Incomplete"))</f>
        <v/>
      </c>
      <c r="T677" s="111"/>
    </row>
    <row r="678" spans="1:20" x14ac:dyDescent="0.2">
      <c r="A678" s="83"/>
      <c r="B678" s="410" t="s">
        <v>120</v>
      </c>
      <c r="C678" s="420"/>
      <c r="D678" s="411"/>
      <c r="E678" s="427"/>
      <c r="F678" s="428"/>
      <c r="G678" s="428"/>
      <c r="H678" s="428"/>
      <c r="I678" s="428"/>
      <c r="J678" s="429"/>
      <c r="K678" s="62" t="s">
        <v>121</v>
      </c>
      <c r="L678" s="427"/>
      <c r="M678" s="428"/>
      <c r="N678" s="428"/>
      <c r="O678" s="428"/>
      <c r="P678" s="429"/>
      <c r="Q678" s="63"/>
    </row>
    <row r="679" spans="1:20" ht="14.25" x14ac:dyDescent="0.2">
      <c r="A679" s="83"/>
      <c r="B679" s="410" t="s">
        <v>196</v>
      </c>
      <c r="C679" s="420"/>
      <c r="D679" s="411"/>
      <c r="E679" s="427"/>
      <c r="F679" s="428"/>
      <c r="G679" s="428"/>
      <c r="H679" s="428"/>
      <c r="I679" s="429"/>
      <c r="J679" s="73" t="s">
        <v>197</v>
      </c>
      <c r="K679" s="405"/>
      <c r="L679" s="406"/>
      <c r="M679" s="414" t="s">
        <v>212</v>
      </c>
      <c r="N679" s="415"/>
      <c r="O679" s="405"/>
      <c r="P679" s="406"/>
      <c r="Q679" s="63"/>
      <c r="R679" s="124" t="str">
        <f>IF(NOT(N698=20),"",IF(OR(COUNTBLANK(E677:E677)=1,COUNTBLANK(L677:L677)=1),"O","P"))</f>
        <v/>
      </c>
      <c r="S679" s="108" t="str">
        <f>IF(NOT(N698=20),"","Candidate Name")</f>
        <v/>
      </c>
      <c r="T679" s="64"/>
    </row>
    <row r="680" spans="1:20" ht="14.25" x14ac:dyDescent="0.2">
      <c r="A680" s="83"/>
      <c r="B680" s="410" t="s">
        <v>198</v>
      </c>
      <c r="C680" s="420"/>
      <c r="D680" s="411"/>
      <c r="E680" s="454"/>
      <c r="F680" s="455"/>
      <c r="G680" s="455"/>
      <c r="H680" s="456"/>
      <c r="I680" s="74" t="s">
        <v>199</v>
      </c>
      <c r="J680" s="427"/>
      <c r="K680" s="428"/>
      <c r="L680" s="428"/>
      <c r="M680" s="428"/>
      <c r="N680" s="428"/>
      <c r="O680" s="428"/>
      <c r="P680" s="429"/>
      <c r="Q680" s="63"/>
      <c r="R680" s="124" t="str">
        <f>IF(NOT(N698=20),"",IF(COUNTBLANK(E676:E676)=1,"O","P"))</f>
        <v/>
      </c>
      <c r="S680" s="108" t="str">
        <f>IF(NOT(N698=20),"","Candidate ID")</f>
        <v/>
      </c>
      <c r="T680" s="64"/>
    </row>
    <row r="681" spans="1:20" ht="14.25" x14ac:dyDescent="0.2">
      <c r="A681" s="83"/>
      <c r="B681" s="410" t="s">
        <v>227</v>
      </c>
      <c r="C681" s="420"/>
      <c r="D681" s="411"/>
      <c r="E681" s="75" t="s">
        <v>218</v>
      </c>
      <c r="F681" s="405"/>
      <c r="G681" s="448"/>
      <c r="H681" s="75" t="s">
        <v>138</v>
      </c>
      <c r="I681" s="449"/>
      <c r="J681" s="450"/>
      <c r="K681" s="76" t="s">
        <v>139</v>
      </c>
      <c r="L681" s="451"/>
      <c r="M681" s="452"/>
      <c r="N681" s="76" t="s">
        <v>228</v>
      </c>
      <c r="O681" s="453" t="str">
        <f ca="1">IF(OR(ISBLANK(L681),ISBLANK(I681),ISBLANK(F681),COUNTBLANK(J676:J676)=1),"",IF(DATEDIF(DATE(L681,VLOOKUP(I681,data!$T$2:$U$13,2,FALSE),F681),IF(AND(TODAY()&lt;data!$AJ$12,TODAY()&gt;data!$AI$12),data!$AI$3,data!$AJ$3),"Y")&gt;=data!$AC$22,YEAR(TODAY())-L681,data!$AD$3))</f>
        <v/>
      </c>
      <c r="P681" s="413"/>
      <c r="Q681" s="63"/>
      <c r="R681" s="124" t="str">
        <f>IF(NOT(N698=20),"",IF(OR(ISBLANK(E678),ISBLANK(L678),ISBLANK(K679),ISBLANK(O679)),"O","P"))</f>
        <v/>
      </c>
      <c r="S681" s="108" t="str">
        <f>IF(NOT(N698=20),"","Address")</f>
        <v/>
      </c>
      <c r="T681" s="64"/>
    </row>
    <row r="682" spans="1:20" ht="15" thickBot="1" x14ac:dyDescent="0.25">
      <c r="A682" s="83"/>
      <c r="B682" s="410" t="s">
        <v>214</v>
      </c>
      <c r="C682" s="411"/>
      <c r="D682" s="412" t="str">
        <f>IF(NOT($N698=20),"",IF(ISERROR(LOOKUP(20,'Teacher Summary Sheet'!$M$19:$M$181)),"",IF(VLOOKUP(20,'Teacher Summary Sheet'!$M$19:$R$181,5)=0,"",VLOOKUP(20,'Teacher Summary Sheet'!$M$19:$R$181,5))))</f>
        <v/>
      </c>
      <c r="E682" s="413"/>
      <c r="F682" s="414" t="s">
        <v>319</v>
      </c>
      <c r="G682" s="415"/>
      <c r="H682" s="416"/>
      <c r="I682" s="417"/>
      <c r="J682" s="418"/>
      <c r="K682" s="414" t="s">
        <v>320</v>
      </c>
      <c r="L682" s="419"/>
      <c r="M682" s="419"/>
      <c r="N682" s="415"/>
      <c r="O682" s="405" t="s">
        <v>268</v>
      </c>
      <c r="P682" s="406"/>
      <c r="Q682" s="63"/>
      <c r="R682" s="124" t="str">
        <f>IF(NOT(N698=20),"",IF(OR(ISBLANK(F681),ISBLANK(I681),ISBLANK(L681)),"O","P"))</f>
        <v/>
      </c>
      <c r="S682" s="108" t="str">
        <f>IF(NOT(N698=20),"","Date of Birth")</f>
        <v/>
      </c>
      <c r="T682" s="64"/>
    </row>
    <row r="683" spans="1:20" ht="14.25" x14ac:dyDescent="0.2">
      <c r="A683" s="83"/>
      <c r="B683" s="522" t="s">
        <v>297</v>
      </c>
      <c r="C683" s="463"/>
      <c r="D683" s="463"/>
      <c r="E683" s="463"/>
      <c r="F683" s="463"/>
      <c r="G683" s="463"/>
      <c r="H683" s="463"/>
      <c r="I683" s="463"/>
      <c r="J683" s="463"/>
      <c r="K683" s="463"/>
      <c r="L683" s="463"/>
      <c r="M683" s="463"/>
      <c r="N683" s="463"/>
      <c r="O683" s="463"/>
      <c r="P683" s="464"/>
      <c r="Q683" s="63"/>
      <c r="R683" s="124" t="str">
        <f>IF(NOT(N698=20),"",IF(COUNTBLANK(J676:J676)=1,"O","P"))</f>
        <v/>
      </c>
      <c r="S683" s="112" t="str">
        <f>IF(NOT(N698=20),"","Exam Level")</f>
        <v/>
      </c>
      <c r="T683" s="64"/>
    </row>
    <row r="684" spans="1:20" ht="14.25" x14ac:dyDescent="0.2">
      <c r="A684" s="83"/>
      <c r="B684" s="465"/>
      <c r="C684" s="466"/>
      <c r="D684" s="466"/>
      <c r="E684" s="466"/>
      <c r="F684" s="466"/>
      <c r="G684" s="466"/>
      <c r="H684" s="466"/>
      <c r="I684" s="466"/>
      <c r="J684" s="466"/>
      <c r="K684" s="466"/>
      <c r="L684" s="466"/>
      <c r="M684" s="466"/>
      <c r="N684" s="466"/>
      <c r="O684" s="466"/>
      <c r="P684" s="467"/>
      <c r="Q684" s="63"/>
      <c r="R684" s="124" t="str">
        <f>IF(NOT(N698=20),"",IF(COUNTBLANK(D682:D682)=1,"O","P"))</f>
        <v/>
      </c>
      <c r="S684" s="109" t="str">
        <f>IF(NOT(N698=20),"","Gender")</f>
        <v/>
      </c>
      <c r="T684" s="64"/>
    </row>
    <row r="685" spans="1:20" ht="14.25" x14ac:dyDescent="0.2">
      <c r="A685" s="83"/>
      <c r="B685" s="432" t="s">
        <v>298</v>
      </c>
      <c r="C685" s="433"/>
      <c r="D685" s="434"/>
      <c r="E685" s="405"/>
      <c r="F685" s="406"/>
      <c r="G685" s="432" t="s">
        <v>299</v>
      </c>
      <c r="H685" s="433"/>
      <c r="I685" s="434"/>
      <c r="J685" s="405"/>
      <c r="K685" s="448"/>
      <c r="L685" s="406"/>
      <c r="M685" s="414" t="s">
        <v>300</v>
      </c>
      <c r="N685" s="415"/>
      <c r="O685" s="457"/>
      <c r="P685" s="458"/>
      <c r="Q685" s="63"/>
      <c r="R685" s="124" t="str">
        <f>IF(NOT(N698=20),"",IF(ISBLANK(H682),"O","P"))</f>
        <v/>
      </c>
      <c r="S685" s="109" t="str">
        <f>IF(NOT(N698=20),"","Height")</f>
        <v/>
      </c>
      <c r="T685" s="64"/>
    </row>
    <row r="686" spans="1:20" x14ac:dyDescent="0.2">
      <c r="A686" s="83"/>
      <c r="B686" s="77" t="s">
        <v>153</v>
      </c>
      <c r="C686" s="405"/>
      <c r="D686" s="406"/>
      <c r="E686" s="414" t="s">
        <v>301</v>
      </c>
      <c r="F686" s="415"/>
      <c r="G686" s="459"/>
      <c r="H686" s="460"/>
      <c r="I686" s="461"/>
      <c r="J686" s="414" t="s">
        <v>302</v>
      </c>
      <c r="K686" s="415"/>
      <c r="L686" s="454"/>
      <c r="M686" s="455"/>
      <c r="N686" s="455"/>
      <c r="O686" s="455"/>
      <c r="P686" s="456"/>
      <c r="Q686" s="63"/>
      <c r="R686" s="64"/>
      <c r="S686" s="64"/>
      <c r="T686" s="64"/>
    </row>
    <row r="687" spans="1:20" x14ac:dyDescent="0.2">
      <c r="A687" s="83"/>
      <c r="B687" s="410" t="s">
        <v>116</v>
      </c>
      <c r="C687" s="420"/>
      <c r="D687" s="420"/>
      <c r="E687" s="420"/>
      <c r="F687" s="420"/>
      <c r="G687" s="420"/>
      <c r="H687" s="420"/>
      <c r="I687" s="420"/>
      <c r="J687" s="420"/>
      <c r="K687" s="420"/>
      <c r="L687" s="420"/>
      <c r="M687" s="420"/>
      <c r="N687" s="420"/>
      <c r="O687" s="420"/>
      <c r="P687" s="411"/>
      <c r="Q687" s="63"/>
      <c r="R687" s="64"/>
      <c r="S687" s="64"/>
      <c r="T687" s="64"/>
    </row>
    <row r="688" spans="1:20" x14ac:dyDescent="0.2">
      <c r="A688" s="83"/>
      <c r="B688" s="410" t="s">
        <v>298</v>
      </c>
      <c r="C688" s="420"/>
      <c r="D688" s="411"/>
      <c r="E688" s="405"/>
      <c r="F688" s="406"/>
      <c r="G688" s="410" t="s">
        <v>299</v>
      </c>
      <c r="H688" s="420"/>
      <c r="I688" s="411"/>
      <c r="J688" s="454"/>
      <c r="K688" s="455"/>
      <c r="L688" s="456"/>
      <c r="M688" s="414" t="s">
        <v>300</v>
      </c>
      <c r="N688" s="415"/>
      <c r="O688" s="457"/>
      <c r="P688" s="458"/>
      <c r="Q688" s="63"/>
      <c r="R688" s="64"/>
    </row>
    <row r="689" spans="1:18" ht="13.5" thickBot="1" x14ac:dyDescent="0.25">
      <c r="A689" s="83"/>
      <c r="B689" s="78" t="s">
        <v>153</v>
      </c>
      <c r="C689" s="492"/>
      <c r="D689" s="493"/>
      <c r="E689" s="494" t="s">
        <v>301</v>
      </c>
      <c r="F689" s="495"/>
      <c r="G689" s="496"/>
      <c r="H689" s="497"/>
      <c r="I689" s="498"/>
      <c r="J689" s="414" t="s">
        <v>302</v>
      </c>
      <c r="K689" s="415"/>
      <c r="L689" s="454"/>
      <c r="M689" s="455"/>
      <c r="N689" s="455"/>
      <c r="O689" s="455"/>
      <c r="P689" s="456"/>
      <c r="Q689" s="63"/>
      <c r="R689" s="64"/>
    </row>
    <row r="690" spans="1:18" x14ac:dyDescent="0.2">
      <c r="A690" s="83"/>
      <c r="B690" s="499" t="s">
        <v>126</v>
      </c>
      <c r="C690" s="500"/>
      <c r="D690" s="500"/>
      <c r="E690" s="500"/>
      <c r="F690" s="500"/>
      <c r="G690" s="500"/>
      <c r="H690" s="500"/>
      <c r="I690" s="501"/>
      <c r="J690" s="505"/>
      <c r="K690" s="506"/>
      <c r="L690" s="506"/>
      <c r="M690" s="506"/>
      <c r="N690" s="506"/>
      <c r="O690" s="506"/>
      <c r="P690" s="507"/>
      <c r="Q690" s="63"/>
      <c r="R690" s="64"/>
    </row>
    <row r="691" spans="1:18" x14ac:dyDescent="0.2">
      <c r="A691" s="83"/>
      <c r="B691" s="502"/>
      <c r="C691" s="503"/>
      <c r="D691" s="503"/>
      <c r="E691" s="503"/>
      <c r="F691" s="503"/>
      <c r="G691" s="503"/>
      <c r="H691" s="503"/>
      <c r="I691" s="504"/>
      <c r="J691" s="508"/>
      <c r="K691" s="509"/>
      <c r="L691" s="509"/>
      <c r="M691" s="509"/>
      <c r="N691" s="509"/>
      <c r="O691" s="509"/>
      <c r="P691" s="510"/>
      <c r="Q691" s="63"/>
      <c r="R691" s="64"/>
    </row>
    <row r="692" spans="1:18" x14ac:dyDescent="0.2">
      <c r="A692" s="83"/>
      <c r="B692" s="514" t="s">
        <v>127</v>
      </c>
      <c r="C692" s="515"/>
      <c r="D692" s="515"/>
      <c r="E692" s="515"/>
      <c r="F692" s="515"/>
      <c r="G692" s="515"/>
      <c r="H692" s="515"/>
      <c r="I692" s="516"/>
      <c r="J692" s="508"/>
      <c r="K692" s="509"/>
      <c r="L692" s="509"/>
      <c r="M692" s="509"/>
      <c r="N692" s="509"/>
      <c r="O692" s="509"/>
      <c r="P692" s="510"/>
      <c r="Q692" s="63"/>
      <c r="R692" s="64"/>
    </row>
    <row r="693" spans="1:18" ht="13.5" thickBot="1" x14ac:dyDescent="0.25">
      <c r="A693" s="83"/>
      <c r="B693" s="517"/>
      <c r="C693" s="518"/>
      <c r="D693" s="518"/>
      <c r="E693" s="518"/>
      <c r="F693" s="518"/>
      <c r="G693" s="518"/>
      <c r="H693" s="518"/>
      <c r="I693" s="519"/>
      <c r="J693" s="511"/>
      <c r="K693" s="512"/>
      <c r="L693" s="512"/>
      <c r="M693" s="512"/>
      <c r="N693" s="512"/>
      <c r="O693" s="512"/>
      <c r="P693" s="513"/>
      <c r="Q693" s="63"/>
      <c r="R693" s="64"/>
    </row>
    <row r="694" spans="1:18" x14ac:dyDescent="0.2">
      <c r="A694" s="83"/>
      <c r="B694" s="480" t="s">
        <v>10</v>
      </c>
      <c r="C694" s="481"/>
      <c r="D694" s="481"/>
      <c r="E694" s="481"/>
      <c r="F694" s="481"/>
      <c r="G694" s="481"/>
      <c r="H694" s="481"/>
      <c r="I694" s="482"/>
      <c r="J694" s="79">
        <v>1</v>
      </c>
      <c r="K694" s="483"/>
      <c r="L694" s="484"/>
      <c r="M694" s="484"/>
      <c r="N694" s="484"/>
      <c r="O694" s="484"/>
      <c r="P694" s="485"/>
      <c r="Q694" s="63"/>
      <c r="R694" s="64"/>
    </row>
    <row r="695" spans="1:18" x14ac:dyDescent="0.2">
      <c r="A695" s="83"/>
      <c r="B695" s="486" t="s">
        <v>276</v>
      </c>
      <c r="C695" s="487"/>
      <c r="D695" s="487"/>
      <c r="E695" s="487"/>
      <c r="F695" s="487"/>
      <c r="G695" s="487"/>
      <c r="H695" s="487"/>
      <c r="I695" s="488"/>
      <c r="J695" s="80">
        <v>2</v>
      </c>
      <c r="K695" s="454"/>
      <c r="L695" s="455"/>
      <c r="M695" s="455"/>
      <c r="N695" s="455"/>
      <c r="O695" s="455"/>
      <c r="P695" s="456"/>
      <c r="Q695" s="63"/>
      <c r="R695" s="64"/>
    </row>
    <row r="696" spans="1:18" x14ac:dyDescent="0.2">
      <c r="A696" s="83"/>
      <c r="B696" s="489" t="s">
        <v>234</v>
      </c>
      <c r="C696" s="490"/>
      <c r="D696" s="490"/>
      <c r="E696" s="490"/>
      <c r="F696" s="490"/>
      <c r="G696" s="490"/>
      <c r="H696" s="490"/>
      <c r="I696" s="491"/>
      <c r="J696" s="80">
        <v>3</v>
      </c>
      <c r="K696" s="454"/>
      <c r="L696" s="455"/>
      <c r="M696" s="455"/>
      <c r="N696" s="455"/>
      <c r="O696" s="455"/>
      <c r="P696" s="456"/>
      <c r="Q696" s="63"/>
      <c r="R696" s="64"/>
    </row>
    <row r="697" spans="1:18" x14ac:dyDescent="0.2">
      <c r="A697" s="83"/>
      <c r="B697" s="468"/>
      <c r="C697" s="468"/>
      <c r="D697" s="468"/>
      <c r="E697" s="468"/>
      <c r="F697" s="468"/>
      <c r="G697" s="468"/>
      <c r="H697" s="468"/>
      <c r="I697" s="468"/>
      <c r="J697" s="468"/>
      <c r="K697" s="468"/>
      <c r="L697" s="468"/>
      <c r="M697" s="468"/>
      <c r="N697" s="468"/>
      <c r="O697" s="468"/>
      <c r="P697" s="468"/>
      <c r="Q697" s="63"/>
      <c r="R697" s="64"/>
    </row>
    <row r="698" spans="1:18" ht="12" customHeight="1" x14ac:dyDescent="0.2">
      <c r="A698" s="83"/>
      <c r="B698" s="469" t="s">
        <v>84</v>
      </c>
      <c r="C698" s="471" t="str">
        <f>IF(CODE(B698)=89,"This candidate would like to receive Special","This candidate would not like to receive Special")</f>
        <v>This candidate would like to receive Special</v>
      </c>
      <c r="D698" s="472"/>
      <c r="E698" s="472"/>
      <c r="F698" s="472"/>
      <c r="G698" s="472"/>
      <c r="H698" s="472"/>
      <c r="I698" s="473"/>
      <c r="J698" s="81"/>
      <c r="K698" s="474" t="s">
        <v>205</v>
      </c>
      <c r="L698" s="474"/>
      <c r="M698" s="475"/>
      <c r="N698" s="51" t="str">
        <f>IF($P$33&gt;=20,20,"")</f>
        <v/>
      </c>
      <c r="O698" s="62" t="s">
        <v>52</v>
      </c>
      <c r="P698" s="51" t="str">
        <f>IF($P$33&gt;=20,$P$33,"")</f>
        <v/>
      </c>
      <c r="Q698" s="63"/>
      <c r="R698" s="64"/>
    </row>
    <row r="699" spans="1:18" ht="12" customHeight="1" x14ac:dyDescent="0.2">
      <c r="A699" s="83"/>
      <c r="B699" s="470"/>
      <c r="C699" s="476" t="str">
        <f>IF(CODE(B698)=89,"Announcements and Bulletins from RAD Canada","Announcements and Bulletins from RAD Canada")</f>
        <v>Announcements and Bulletins from RAD Canada</v>
      </c>
      <c r="D699" s="477"/>
      <c r="E699" s="477"/>
      <c r="F699" s="477"/>
      <c r="G699" s="477"/>
      <c r="H699" s="477"/>
      <c r="I699" s="478"/>
      <c r="J699" s="479"/>
      <c r="K699" s="400"/>
      <c r="L699" s="400"/>
      <c r="M699" s="400"/>
      <c r="N699" s="400"/>
      <c r="O699" s="400"/>
      <c r="P699" s="400"/>
      <c r="Q699" s="63"/>
      <c r="R699" s="64"/>
    </row>
    <row r="700" spans="1:18" x14ac:dyDescent="0.2">
      <c r="A700" s="83"/>
      <c r="B700" s="400"/>
      <c r="C700" s="400"/>
      <c r="D700" s="400"/>
      <c r="E700" s="400"/>
      <c r="F700" s="400"/>
      <c r="G700" s="400"/>
      <c r="H700" s="400"/>
      <c r="I700" s="400"/>
      <c r="J700" s="400"/>
      <c r="K700" s="400"/>
      <c r="L700" s="400"/>
      <c r="M700" s="400"/>
      <c r="N700" s="400"/>
      <c r="O700" s="400"/>
      <c r="P700" s="400"/>
      <c r="Q700" s="63"/>
      <c r="R700" s="64"/>
    </row>
    <row r="701" spans="1:18" x14ac:dyDescent="0.2">
      <c r="A701" s="83"/>
      <c r="B701" s="62"/>
      <c r="C701" s="62"/>
      <c r="D701" s="62"/>
      <c r="E701" s="62"/>
      <c r="F701" s="62"/>
      <c r="G701" s="62"/>
      <c r="H701" s="62"/>
      <c r="I701" s="62"/>
      <c r="J701" s="62"/>
      <c r="K701" s="62"/>
      <c r="L701" s="62"/>
      <c r="M701" s="62"/>
      <c r="N701" s="62"/>
      <c r="O701" s="62"/>
      <c r="P701" s="62"/>
      <c r="Q701" s="63"/>
      <c r="R701" s="64"/>
    </row>
    <row r="702" spans="1:18" x14ac:dyDescent="0.2">
      <c r="A702" s="83"/>
      <c r="B702" s="401" t="s">
        <v>281</v>
      </c>
      <c r="C702" s="402"/>
      <c r="D702" s="402"/>
      <c r="E702" s="402"/>
      <c r="F702" s="402"/>
      <c r="G702" s="402"/>
      <c r="H702" s="62"/>
      <c r="I702" s="62"/>
      <c r="J702" s="62"/>
      <c r="K702" s="62"/>
      <c r="L702" s="62"/>
      <c r="M702" s="62"/>
      <c r="N702" s="62"/>
      <c r="O702" s="62"/>
      <c r="P702" s="62"/>
      <c r="Q702" s="63"/>
      <c r="R702" s="64"/>
    </row>
    <row r="703" spans="1:18" ht="15.75" x14ac:dyDescent="0.25">
      <c r="A703" s="83"/>
      <c r="B703" s="402"/>
      <c r="C703" s="402"/>
      <c r="D703" s="402"/>
      <c r="E703" s="402"/>
      <c r="F703" s="402"/>
      <c r="G703" s="402"/>
      <c r="H703" s="82"/>
      <c r="I703" s="403"/>
      <c r="J703" s="403"/>
      <c r="K703" s="403"/>
      <c r="L703" s="403"/>
      <c r="M703" s="403"/>
      <c r="N703" s="403"/>
      <c r="O703" s="403"/>
      <c r="P703" s="403"/>
      <c r="Q703" s="63"/>
      <c r="R703" s="64"/>
    </row>
    <row r="704" spans="1:18" x14ac:dyDescent="0.2">
      <c r="A704" s="83"/>
      <c r="B704" s="400"/>
      <c r="C704" s="400"/>
      <c r="D704" s="400"/>
      <c r="E704" s="400"/>
      <c r="F704" s="400"/>
      <c r="G704" s="400"/>
      <c r="H704" s="400"/>
      <c r="I704" s="400"/>
      <c r="J704" s="400"/>
      <c r="K704" s="400"/>
      <c r="L704" s="400"/>
      <c r="M704" s="403"/>
      <c r="N704" s="403"/>
      <c r="O704" s="403"/>
      <c r="P704" s="403"/>
      <c r="Q704" s="63"/>
      <c r="R704" s="64"/>
    </row>
    <row r="705" spans="1:20" x14ac:dyDescent="0.2">
      <c r="A705" s="83"/>
      <c r="B705" s="404" t="s">
        <v>260</v>
      </c>
      <c r="C705" s="404"/>
      <c r="D705" s="404"/>
      <c r="E705" s="404"/>
      <c r="F705" s="400"/>
      <c r="G705" s="400"/>
      <c r="H705" s="400"/>
      <c r="I705" s="400"/>
      <c r="J705" s="400"/>
      <c r="K705" s="400"/>
      <c r="L705" s="400"/>
      <c r="M705" s="403"/>
      <c r="N705" s="403"/>
      <c r="O705" s="403"/>
      <c r="P705" s="403"/>
      <c r="Q705" s="63"/>
      <c r="R705" s="64"/>
    </row>
    <row r="706" spans="1:20" x14ac:dyDescent="0.2">
      <c r="A706" s="83"/>
      <c r="B706" s="69"/>
      <c r="C706" s="324" t="s">
        <v>75</v>
      </c>
      <c r="D706" s="408"/>
      <c r="E706" s="409"/>
      <c r="F706" s="400"/>
      <c r="G706" s="400"/>
      <c r="H706" s="400"/>
      <c r="I706" s="400"/>
      <c r="J706" s="400"/>
      <c r="K706" s="400"/>
      <c r="L706" s="400"/>
      <c r="M706" s="70"/>
      <c r="N706" s="70"/>
      <c r="O706" s="70"/>
      <c r="P706" s="70"/>
      <c r="Q706" s="63"/>
      <c r="R706" s="64"/>
    </row>
    <row r="707" spans="1:20" x14ac:dyDescent="0.2">
      <c r="A707" s="83"/>
      <c r="B707" s="71"/>
      <c r="C707" s="324" t="s">
        <v>128</v>
      </c>
      <c r="D707" s="408"/>
      <c r="E707" s="409"/>
      <c r="F707" s="400"/>
      <c r="G707" s="400"/>
      <c r="H707" s="400"/>
      <c r="I707" s="400"/>
      <c r="J707" s="400"/>
      <c r="K707" s="400"/>
      <c r="L707" s="400"/>
      <c r="M707" s="407" t="s">
        <v>256</v>
      </c>
      <c r="N707" s="407"/>
      <c r="O707" s="407"/>
      <c r="P707" s="407"/>
      <c r="Q707" s="63"/>
      <c r="R707" s="64"/>
    </row>
    <row r="708" spans="1:20" x14ac:dyDescent="0.2">
      <c r="A708" s="83"/>
      <c r="B708" s="56"/>
      <c r="C708" s="324" t="s">
        <v>282</v>
      </c>
      <c r="D708" s="408"/>
      <c r="E708" s="409"/>
      <c r="F708" s="400"/>
      <c r="G708" s="400"/>
      <c r="H708" s="400"/>
      <c r="I708" s="400"/>
      <c r="J708" s="400"/>
      <c r="K708" s="400"/>
      <c r="L708" s="400"/>
      <c r="M708" s="407"/>
      <c r="N708" s="407"/>
      <c r="O708" s="407"/>
      <c r="P708" s="407"/>
      <c r="Q708" s="63"/>
      <c r="R708" s="64"/>
    </row>
    <row r="709" spans="1:20" x14ac:dyDescent="0.2">
      <c r="A709" s="83"/>
      <c r="B709" s="520"/>
      <c r="C709" s="520"/>
      <c r="D709" s="520"/>
      <c r="E709" s="520"/>
      <c r="F709" s="520"/>
      <c r="G709" s="520"/>
      <c r="H709" s="520"/>
      <c r="I709" s="520"/>
      <c r="J709" s="520"/>
      <c r="K709" s="520"/>
      <c r="L709" s="520"/>
      <c r="M709" s="520"/>
      <c r="N709" s="520"/>
      <c r="O709" s="520"/>
      <c r="P709" s="520"/>
      <c r="Q709" s="63"/>
      <c r="R709" s="64"/>
    </row>
    <row r="710" spans="1:20" x14ac:dyDescent="0.2">
      <c r="A710" s="83"/>
      <c r="B710" s="432" t="s">
        <v>117</v>
      </c>
      <c r="C710" s="433"/>
      <c r="D710" s="434"/>
      <c r="E710" s="442" t="str">
        <f>IF(AND($P$33&gt;=21,NOT(ISBLANK($E$10))),$E$10,"")</f>
        <v/>
      </c>
      <c r="F710" s="443"/>
      <c r="G710" s="444"/>
      <c r="H710" s="414" t="s">
        <v>124</v>
      </c>
      <c r="I710" s="415"/>
      <c r="J710" s="442" t="str">
        <f>IF(AND($P$33&gt;=21,NOT(ISBLANK($J$10))),$J$10,"")</f>
        <v/>
      </c>
      <c r="K710" s="443"/>
      <c r="L710" s="444"/>
      <c r="M710" s="414" t="s">
        <v>118</v>
      </c>
      <c r="N710" s="415"/>
      <c r="O710" s="430" t="str">
        <f>IF(AND($P$33&gt;=21,NOT(ISBLANK($O$10))),$O$10,"")</f>
        <v/>
      </c>
      <c r="P710" s="521"/>
      <c r="Q710" s="63"/>
      <c r="R710" s="545" t="s">
        <v>307</v>
      </c>
      <c r="S710" s="546"/>
      <c r="T710" s="547"/>
    </row>
    <row r="711" spans="1:20" x14ac:dyDescent="0.2">
      <c r="A711" s="83"/>
      <c r="B711" s="432" t="s">
        <v>240</v>
      </c>
      <c r="C711" s="433"/>
      <c r="D711" s="434"/>
      <c r="E711" s="435" t="str">
        <f>IF(NOT($N733=21),"",IF(ISERROR(LOOKUP(21,'Teacher Summary Sheet'!$M$19:$M$181)),"",IF(VLOOKUP(21,'Teacher Summary Sheet'!$M$19:$R$181,2)=0,"",VLOOKUP(21,'Teacher Summary Sheet'!$M$19:$R$181,2))))</f>
        <v/>
      </c>
      <c r="F711" s="436"/>
      <c r="G711" s="437"/>
      <c r="H711" s="438" t="s">
        <v>119</v>
      </c>
      <c r="I711" s="439"/>
      <c r="J711" s="102" t="str">
        <f>IF(NOT($N733=21),"",IF(ISERROR(LOOKUP(21,'Teacher Summary Sheet'!$M$19:$M$181)),"",IF(VLOOKUP(21,'Teacher Summary Sheet'!$M$19:$R$181,6)=0,"",VLOOKUP(21,'Teacher Summary Sheet'!$M$19:$R$181,6))))</f>
        <v/>
      </c>
      <c r="K711" s="414" t="s">
        <v>179</v>
      </c>
      <c r="L711" s="419"/>
      <c r="M711" s="415"/>
      <c r="N711" s="412" t="str">
        <f>IF(NOT($N733=21),"",IF(ISERROR(LOOKUP(21,'Teacher Summary Sheet'!$M$19:$M$181)),"",IF('Teacher Summary Sheet'!$F$31=0,"",'Teacher Summary Sheet'!$F$31)))</f>
        <v/>
      </c>
      <c r="O711" s="440"/>
      <c r="P711" s="413"/>
      <c r="Q711" s="63"/>
      <c r="R711" s="548"/>
      <c r="S711" s="549"/>
      <c r="T711" s="550"/>
    </row>
    <row r="712" spans="1:20" ht="14.25" x14ac:dyDescent="0.2">
      <c r="A712" s="83"/>
      <c r="B712" s="410" t="s">
        <v>241</v>
      </c>
      <c r="C712" s="420"/>
      <c r="D712" s="411"/>
      <c r="E712" s="421" t="str">
        <f>IF(NOT($N733=21),"",IF(ISERROR(LOOKUP(21,'Teacher Summary Sheet'!$M$19:$M$181)),"",IF(VLOOKUP(21,'Teacher Summary Sheet'!$M$19:$R$181,3)=0,"",VLOOKUP(21,'Teacher Summary Sheet'!$M$19:$R$181,3))))</f>
        <v/>
      </c>
      <c r="F712" s="422"/>
      <c r="G712" s="422"/>
      <c r="H712" s="422"/>
      <c r="I712" s="423"/>
      <c r="J712" s="414" t="s">
        <v>124</v>
      </c>
      <c r="K712" s="415"/>
      <c r="L712" s="424" t="str">
        <f>IF(NOT($N733=21),"",IF(ISERROR(LOOKUP(21,'Teacher Summary Sheet'!$M$19:$M$181)),"",IF(VLOOKUP(21,'Teacher Summary Sheet'!$M$19:$R$181,4)=0,"",VLOOKUP(21,'Teacher Summary Sheet'!$M$19:$R$181,4))))</f>
        <v/>
      </c>
      <c r="M712" s="425"/>
      <c r="N712" s="425"/>
      <c r="O712" s="425"/>
      <c r="P712" s="426"/>
      <c r="Q712" s="63"/>
      <c r="R712" s="125" t="str">
        <f>IF(NOT(N733=21),"",IF(COUNTIF(R714:R720,"P")=7,"P","O"))</f>
        <v/>
      </c>
      <c r="S712" s="110" t="str">
        <f>IF(NOT(N733=21),"",IF(COUNTIF(R714:R720,"P")=7,"Complete","Incomplete"))</f>
        <v/>
      </c>
      <c r="T712" s="111"/>
    </row>
    <row r="713" spans="1:20" x14ac:dyDescent="0.2">
      <c r="A713" s="83"/>
      <c r="B713" s="410" t="s">
        <v>120</v>
      </c>
      <c r="C713" s="420"/>
      <c r="D713" s="411"/>
      <c r="E713" s="427"/>
      <c r="F713" s="428"/>
      <c r="G713" s="428"/>
      <c r="H713" s="428"/>
      <c r="I713" s="428"/>
      <c r="J713" s="429"/>
      <c r="K713" s="62" t="s">
        <v>121</v>
      </c>
      <c r="L713" s="427"/>
      <c r="M713" s="428"/>
      <c r="N713" s="428"/>
      <c r="O713" s="428"/>
      <c r="P713" s="429"/>
      <c r="Q713" s="63"/>
    </row>
    <row r="714" spans="1:20" ht="14.25" x14ac:dyDescent="0.2">
      <c r="A714" s="83"/>
      <c r="B714" s="410" t="s">
        <v>196</v>
      </c>
      <c r="C714" s="420"/>
      <c r="D714" s="411"/>
      <c r="E714" s="427"/>
      <c r="F714" s="428"/>
      <c r="G714" s="428"/>
      <c r="H714" s="428"/>
      <c r="I714" s="429"/>
      <c r="J714" s="73" t="s">
        <v>197</v>
      </c>
      <c r="K714" s="405"/>
      <c r="L714" s="406"/>
      <c r="M714" s="414" t="s">
        <v>212</v>
      </c>
      <c r="N714" s="415"/>
      <c r="O714" s="405"/>
      <c r="P714" s="406"/>
      <c r="Q714" s="63"/>
      <c r="R714" s="124" t="str">
        <f>IF(NOT(N733=21),"",IF(OR(COUNTBLANK(E712:E712)=1,COUNTBLANK(L712:L712)=1),"O","P"))</f>
        <v/>
      </c>
      <c r="S714" s="108" t="str">
        <f>IF(NOT(N733=21),"","Candidate Name")</f>
        <v/>
      </c>
      <c r="T714" s="64"/>
    </row>
    <row r="715" spans="1:20" ht="14.25" x14ac:dyDescent="0.2">
      <c r="A715" s="83"/>
      <c r="B715" s="410" t="s">
        <v>198</v>
      </c>
      <c r="C715" s="420"/>
      <c r="D715" s="411"/>
      <c r="E715" s="454"/>
      <c r="F715" s="455"/>
      <c r="G715" s="455"/>
      <c r="H715" s="456"/>
      <c r="I715" s="74" t="s">
        <v>199</v>
      </c>
      <c r="J715" s="427"/>
      <c r="K715" s="428"/>
      <c r="L715" s="428"/>
      <c r="M715" s="428"/>
      <c r="N715" s="428"/>
      <c r="O715" s="428"/>
      <c r="P715" s="429"/>
      <c r="Q715" s="63"/>
      <c r="R715" s="124" t="str">
        <f>IF(NOT(N733=21),"",IF(COUNTBLANK(E711:E711)=1,"O","P"))</f>
        <v/>
      </c>
      <c r="S715" s="108" t="str">
        <f>IF(NOT(N733=21),"","Candidate ID")</f>
        <v/>
      </c>
      <c r="T715" s="64"/>
    </row>
    <row r="716" spans="1:20" ht="14.25" x14ac:dyDescent="0.2">
      <c r="A716" s="83"/>
      <c r="B716" s="410" t="s">
        <v>227</v>
      </c>
      <c r="C716" s="420"/>
      <c r="D716" s="411"/>
      <c r="E716" s="75" t="s">
        <v>218</v>
      </c>
      <c r="F716" s="405"/>
      <c r="G716" s="448"/>
      <c r="H716" s="75" t="s">
        <v>138</v>
      </c>
      <c r="I716" s="449"/>
      <c r="J716" s="450"/>
      <c r="K716" s="76" t="s">
        <v>139</v>
      </c>
      <c r="L716" s="451"/>
      <c r="M716" s="452"/>
      <c r="N716" s="76" t="s">
        <v>228</v>
      </c>
      <c r="O716" s="453" t="str">
        <f ca="1">IF(OR(ISBLANK(L716),ISBLANK(I716),ISBLANK(F716),COUNTBLANK(J711:J711)=1),"",IF(DATEDIF(DATE(L716,VLOOKUP(I716,data!$T$2:$U$13,2,FALSE),F716),IF(AND(TODAY()&lt;data!$AJ$12,TODAY()&gt;data!$AI$12),data!$AI$3,data!$AJ$3),"Y")&gt;=data!$AC$23,YEAR(TODAY())-L716,data!$AD$3))</f>
        <v/>
      </c>
      <c r="P716" s="413"/>
      <c r="Q716" s="63"/>
      <c r="R716" s="124" t="str">
        <f>IF(NOT(N733=21),"",IF(OR(ISBLANK(E713),ISBLANK(L713),ISBLANK(K714),ISBLANK(O714)),"O","P"))</f>
        <v/>
      </c>
      <c r="S716" s="108" t="str">
        <f>IF(NOT(N733=21),"","Address")</f>
        <v/>
      </c>
      <c r="T716" s="64"/>
    </row>
    <row r="717" spans="1:20" ht="15" thickBot="1" x14ac:dyDescent="0.25">
      <c r="A717" s="83"/>
      <c r="B717" s="410" t="s">
        <v>214</v>
      </c>
      <c r="C717" s="411"/>
      <c r="D717" s="412" t="str">
        <f>IF(NOT($N733=21),"",IF(ISERROR(LOOKUP(21,'Teacher Summary Sheet'!$M$19:$M$181)),"",IF(VLOOKUP(21,'Teacher Summary Sheet'!$M$19:$R$181,5)=0,"",VLOOKUP(21,'Teacher Summary Sheet'!$M$19:$R$181,5))))</f>
        <v/>
      </c>
      <c r="E717" s="413"/>
      <c r="F717" s="414" t="s">
        <v>319</v>
      </c>
      <c r="G717" s="415"/>
      <c r="H717" s="416"/>
      <c r="I717" s="417"/>
      <c r="J717" s="418"/>
      <c r="K717" s="414" t="s">
        <v>320</v>
      </c>
      <c r="L717" s="419"/>
      <c r="M717" s="419"/>
      <c r="N717" s="415"/>
      <c r="O717" s="405" t="s">
        <v>268</v>
      </c>
      <c r="P717" s="406"/>
      <c r="Q717" s="63"/>
      <c r="R717" s="124" t="str">
        <f>IF(NOT(N733=21),"",IF(OR(ISBLANK(F716),ISBLANK(I716),ISBLANK(L716)),"O","P"))</f>
        <v/>
      </c>
      <c r="S717" s="108" t="str">
        <f>IF(NOT(N733=21),"","Date of Birth")</f>
        <v/>
      </c>
      <c r="T717" s="64"/>
    </row>
    <row r="718" spans="1:20" ht="14.25" x14ac:dyDescent="0.2">
      <c r="A718" s="83"/>
      <c r="B718" s="522" t="s">
        <v>297</v>
      </c>
      <c r="C718" s="463"/>
      <c r="D718" s="463"/>
      <c r="E718" s="463"/>
      <c r="F718" s="463"/>
      <c r="G718" s="463"/>
      <c r="H718" s="463"/>
      <c r="I718" s="463"/>
      <c r="J718" s="463"/>
      <c r="K718" s="463"/>
      <c r="L718" s="463"/>
      <c r="M718" s="463"/>
      <c r="N718" s="463"/>
      <c r="O718" s="463"/>
      <c r="P718" s="464"/>
      <c r="Q718" s="63"/>
      <c r="R718" s="124" t="str">
        <f>IF(NOT(N733=21),"",IF(COUNTBLANK(J711:J711)=1,"O","P"))</f>
        <v/>
      </c>
      <c r="S718" s="112" t="str">
        <f>IF(NOT(N733=21),"","Exam Level")</f>
        <v/>
      </c>
      <c r="T718" s="64"/>
    </row>
    <row r="719" spans="1:20" ht="14.25" x14ac:dyDescent="0.2">
      <c r="A719" s="83"/>
      <c r="B719" s="465"/>
      <c r="C719" s="466"/>
      <c r="D719" s="466"/>
      <c r="E719" s="466"/>
      <c r="F719" s="466"/>
      <c r="G719" s="466"/>
      <c r="H719" s="466"/>
      <c r="I719" s="466"/>
      <c r="J719" s="466"/>
      <c r="K719" s="466"/>
      <c r="L719" s="466"/>
      <c r="M719" s="466"/>
      <c r="N719" s="466"/>
      <c r="O719" s="466"/>
      <c r="P719" s="467"/>
      <c r="Q719" s="63"/>
      <c r="R719" s="124" t="str">
        <f>IF(NOT(N733=21),"",IF(COUNTBLANK(D717:D717)=1,"O","P"))</f>
        <v/>
      </c>
      <c r="S719" s="109" t="str">
        <f>IF(NOT(N733=21),"","Gender")</f>
        <v/>
      </c>
      <c r="T719" s="64"/>
    </row>
    <row r="720" spans="1:20" ht="14.25" x14ac:dyDescent="0.2">
      <c r="A720" s="83"/>
      <c r="B720" s="432" t="s">
        <v>298</v>
      </c>
      <c r="C720" s="433"/>
      <c r="D720" s="434"/>
      <c r="E720" s="405"/>
      <c r="F720" s="406"/>
      <c r="G720" s="432" t="s">
        <v>299</v>
      </c>
      <c r="H720" s="433"/>
      <c r="I720" s="434"/>
      <c r="J720" s="405"/>
      <c r="K720" s="448"/>
      <c r="L720" s="406"/>
      <c r="M720" s="414" t="s">
        <v>300</v>
      </c>
      <c r="N720" s="415"/>
      <c r="O720" s="457"/>
      <c r="P720" s="458"/>
      <c r="Q720" s="63"/>
      <c r="R720" s="124" t="str">
        <f>IF(NOT(N733=21),"",IF(ISBLANK(H717),"O","P"))</f>
        <v/>
      </c>
      <c r="S720" s="109" t="str">
        <f>IF(NOT(N733=21),"","Height")</f>
        <v/>
      </c>
      <c r="T720" s="64"/>
    </row>
    <row r="721" spans="1:20" x14ac:dyDescent="0.2">
      <c r="A721" s="83"/>
      <c r="B721" s="77" t="s">
        <v>153</v>
      </c>
      <c r="C721" s="405"/>
      <c r="D721" s="406"/>
      <c r="E721" s="414" t="s">
        <v>301</v>
      </c>
      <c r="F721" s="415"/>
      <c r="G721" s="459"/>
      <c r="H721" s="460"/>
      <c r="I721" s="461"/>
      <c r="J721" s="414" t="s">
        <v>302</v>
      </c>
      <c r="K721" s="415"/>
      <c r="L721" s="454"/>
      <c r="M721" s="455"/>
      <c r="N721" s="455"/>
      <c r="O721" s="455"/>
      <c r="P721" s="456"/>
      <c r="Q721" s="63"/>
      <c r="R721" s="64"/>
      <c r="S721" s="64"/>
      <c r="T721" s="64"/>
    </row>
    <row r="722" spans="1:20" x14ac:dyDescent="0.2">
      <c r="A722" s="83"/>
      <c r="B722" s="410" t="s">
        <v>116</v>
      </c>
      <c r="C722" s="420"/>
      <c r="D722" s="420"/>
      <c r="E722" s="420"/>
      <c r="F722" s="420"/>
      <c r="G722" s="420"/>
      <c r="H722" s="420"/>
      <c r="I722" s="420"/>
      <c r="J722" s="420"/>
      <c r="K722" s="420"/>
      <c r="L722" s="420"/>
      <c r="M722" s="420"/>
      <c r="N722" s="420"/>
      <c r="O722" s="420"/>
      <c r="P722" s="411"/>
      <c r="Q722" s="63"/>
      <c r="R722" s="64"/>
      <c r="S722" s="64"/>
      <c r="T722" s="64"/>
    </row>
    <row r="723" spans="1:20" x14ac:dyDescent="0.2">
      <c r="A723" s="83"/>
      <c r="B723" s="410" t="s">
        <v>298</v>
      </c>
      <c r="C723" s="420"/>
      <c r="D723" s="411"/>
      <c r="E723" s="405"/>
      <c r="F723" s="406"/>
      <c r="G723" s="410" t="s">
        <v>299</v>
      </c>
      <c r="H723" s="420"/>
      <c r="I723" s="411"/>
      <c r="J723" s="454"/>
      <c r="K723" s="455"/>
      <c r="L723" s="456"/>
      <c r="M723" s="414" t="s">
        <v>300</v>
      </c>
      <c r="N723" s="415"/>
      <c r="O723" s="457"/>
      <c r="P723" s="458"/>
      <c r="Q723" s="63"/>
      <c r="R723" s="64"/>
    </row>
    <row r="724" spans="1:20" ht="13.5" thickBot="1" x14ac:dyDescent="0.25">
      <c r="A724" s="83"/>
      <c r="B724" s="78" t="s">
        <v>153</v>
      </c>
      <c r="C724" s="492"/>
      <c r="D724" s="493"/>
      <c r="E724" s="494" t="s">
        <v>301</v>
      </c>
      <c r="F724" s="495"/>
      <c r="G724" s="496"/>
      <c r="H724" s="497"/>
      <c r="I724" s="498"/>
      <c r="J724" s="414" t="s">
        <v>302</v>
      </c>
      <c r="K724" s="415"/>
      <c r="L724" s="454"/>
      <c r="M724" s="455"/>
      <c r="N724" s="455"/>
      <c r="O724" s="455"/>
      <c r="P724" s="456"/>
      <c r="Q724" s="63"/>
      <c r="R724" s="64"/>
    </row>
    <row r="725" spans="1:20" x14ac:dyDescent="0.2">
      <c r="A725" s="83"/>
      <c r="B725" s="499" t="s">
        <v>126</v>
      </c>
      <c r="C725" s="500"/>
      <c r="D725" s="500"/>
      <c r="E725" s="500"/>
      <c r="F725" s="500"/>
      <c r="G725" s="500"/>
      <c r="H725" s="500"/>
      <c r="I725" s="501"/>
      <c r="J725" s="505"/>
      <c r="K725" s="506"/>
      <c r="L725" s="506"/>
      <c r="M725" s="506"/>
      <c r="N725" s="506"/>
      <c r="O725" s="506"/>
      <c r="P725" s="507"/>
      <c r="Q725" s="63"/>
      <c r="R725" s="64"/>
    </row>
    <row r="726" spans="1:20" x14ac:dyDescent="0.2">
      <c r="A726" s="83"/>
      <c r="B726" s="502"/>
      <c r="C726" s="503"/>
      <c r="D726" s="503"/>
      <c r="E726" s="503"/>
      <c r="F726" s="503"/>
      <c r="G726" s="503"/>
      <c r="H726" s="503"/>
      <c r="I726" s="504"/>
      <c r="J726" s="508"/>
      <c r="K726" s="509"/>
      <c r="L726" s="509"/>
      <c r="M726" s="509"/>
      <c r="N726" s="509"/>
      <c r="O726" s="509"/>
      <c r="P726" s="510"/>
      <c r="Q726" s="63"/>
      <c r="R726" s="64"/>
    </row>
    <row r="727" spans="1:20" x14ac:dyDescent="0.2">
      <c r="A727" s="83"/>
      <c r="B727" s="514" t="s">
        <v>127</v>
      </c>
      <c r="C727" s="515"/>
      <c r="D727" s="515"/>
      <c r="E727" s="515"/>
      <c r="F727" s="515"/>
      <c r="G727" s="515"/>
      <c r="H727" s="515"/>
      <c r="I727" s="516"/>
      <c r="J727" s="508"/>
      <c r="K727" s="509"/>
      <c r="L727" s="509"/>
      <c r="M727" s="509"/>
      <c r="N727" s="509"/>
      <c r="O727" s="509"/>
      <c r="P727" s="510"/>
      <c r="Q727" s="63"/>
      <c r="R727" s="64"/>
    </row>
    <row r="728" spans="1:20" ht="13.5" thickBot="1" x14ac:dyDescent="0.25">
      <c r="A728" s="83"/>
      <c r="B728" s="517"/>
      <c r="C728" s="518"/>
      <c r="D728" s="518"/>
      <c r="E728" s="518"/>
      <c r="F728" s="518"/>
      <c r="G728" s="518"/>
      <c r="H728" s="518"/>
      <c r="I728" s="519"/>
      <c r="J728" s="511"/>
      <c r="K728" s="512"/>
      <c r="L728" s="512"/>
      <c r="M728" s="512"/>
      <c r="N728" s="512"/>
      <c r="O728" s="512"/>
      <c r="P728" s="513"/>
      <c r="Q728" s="63"/>
      <c r="R728" s="64"/>
    </row>
    <row r="729" spans="1:20" x14ac:dyDescent="0.2">
      <c r="A729" s="83"/>
      <c r="B729" s="480" t="s">
        <v>10</v>
      </c>
      <c r="C729" s="481"/>
      <c r="D729" s="481"/>
      <c r="E729" s="481"/>
      <c r="F729" s="481"/>
      <c r="G729" s="481"/>
      <c r="H729" s="481"/>
      <c r="I729" s="482"/>
      <c r="J729" s="79">
        <v>1</v>
      </c>
      <c r="K729" s="483"/>
      <c r="L729" s="484"/>
      <c r="M729" s="484"/>
      <c r="N729" s="484"/>
      <c r="O729" s="484"/>
      <c r="P729" s="485"/>
      <c r="Q729" s="63"/>
      <c r="R729" s="64"/>
    </row>
    <row r="730" spans="1:20" x14ac:dyDescent="0.2">
      <c r="A730" s="83"/>
      <c r="B730" s="486" t="s">
        <v>276</v>
      </c>
      <c r="C730" s="487"/>
      <c r="D730" s="487"/>
      <c r="E730" s="487"/>
      <c r="F730" s="487"/>
      <c r="G730" s="487"/>
      <c r="H730" s="487"/>
      <c r="I730" s="488"/>
      <c r="J730" s="80">
        <v>2</v>
      </c>
      <c r="K730" s="454"/>
      <c r="L730" s="455"/>
      <c r="M730" s="455"/>
      <c r="N730" s="455"/>
      <c r="O730" s="455"/>
      <c r="P730" s="456"/>
      <c r="Q730" s="63"/>
      <c r="R730" s="64"/>
    </row>
    <row r="731" spans="1:20" x14ac:dyDescent="0.2">
      <c r="A731" s="83"/>
      <c r="B731" s="489" t="s">
        <v>234</v>
      </c>
      <c r="C731" s="490"/>
      <c r="D731" s="490"/>
      <c r="E731" s="490"/>
      <c r="F731" s="490"/>
      <c r="G731" s="490"/>
      <c r="H731" s="490"/>
      <c r="I731" s="491"/>
      <c r="J731" s="80">
        <v>3</v>
      </c>
      <c r="K731" s="454"/>
      <c r="L731" s="455"/>
      <c r="M731" s="455"/>
      <c r="N731" s="455"/>
      <c r="O731" s="455"/>
      <c r="P731" s="456"/>
      <c r="Q731" s="63"/>
      <c r="R731" s="64"/>
    </row>
    <row r="732" spans="1:20" x14ac:dyDescent="0.2">
      <c r="A732" s="83"/>
      <c r="B732" s="468"/>
      <c r="C732" s="468"/>
      <c r="D732" s="468"/>
      <c r="E732" s="468"/>
      <c r="F732" s="468"/>
      <c r="G732" s="468"/>
      <c r="H732" s="468"/>
      <c r="I732" s="468"/>
      <c r="J732" s="468"/>
      <c r="K732" s="468"/>
      <c r="L732" s="468"/>
      <c r="M732" s="468"/>
      <c r="N732" s="468"/>
      <c r="O732" s="468"/>
      <c r="P732" s="468"/>
      <c r="Q732" s="63"/>
      <c r="R732" s="64"/>
    </row>
    <row r="733" spans="1:20" ht="12" customHeight="1" x14ac:dyDescent="0.2">
      <c r="A733" s="83"/>
      <c r="B733" s="469" t="s">
        <v>84</v>
      </c>
      <c r="C733" s="471" t="str">
        <f>IF(CODE(B733)=89,"This candidate would like to receive Special","This candidate would not like to receive Special")</f>
        <v>This candidate would like to receive Special</v>
      </c>
      <c r="D733" s="472"/>
      <c r="E733" s="472"/>
      <c r="F733" s="472"/>
      <c r="G733" s="472"/>
      <c r="H733" s="472"/>
      <c r="I733" s="473"/>
      <c r="J733" s="81"/>
      <c r="K733" s="474" t="s">
        <v>235</v>
      </c>
      <c r="L733" s="474"/>
      <c r="M733" s="475"/>
      <c r="N733" s="51" t="str">
        <f>IF($P$33&gt;=21,21,"")</f>
        <v/>
      </c>
      <c r="O733" s="62" t="s">
        <v>52</v>
      </c>
      <c r="P733" s="51" t="str">
        <f>IF($P$33&gt;=21,$P$33,"")</f>
        <v/>
      </c>
      <c r="Q733" s="63"/>
      <c r="R733" s="64"/>
    </row>
    <row r="734" spans="1:20" ht="12" customHeight="1" x14ac:dyDescent="0.2">
      <c r="A734" s="83"/>
      <c r="B734" s="470"/>
      <c r="C734" s="476" t="str">
        <f>IF(CODE(B733)=89,"Announcements and Bulletins from RAD Canada","Announcements and Bulletins from RAD Canada")</f>
        <v>Announcements and Bulletins from RAD Canada</v>
      </c>
      <c r="D734" s="477"/>
      <c r="E734" s="477"/>
      <c r="F734" s="477"/>
      <c r="G734" s="477"/>
      <c r="H734" s="477"/>
      <c r="I734" s="478"/>
      <c r="J734" s="479"/>
      <c r="K734" s="400"/>
      <c r="L734" s="400"/>
      <c r="M734" s="400"/>
      <c r="N734" s="400"/>
      <c r="O734" s="400"/>
      <c r="P734" s="400"/>
      <c r="Q734" s="63"/>
      <c r="R734" s="64"/>
    </row>
    <row r="735" spans="1:20" x14ac:dyDescent="0.2">
      <c r="A735" s="83"/>
      <c r="B735" s="400"/>
      <c r="C735" s="400"/>
      <c r="D735" s="400"/>
      <c r="E735" s="400"/>
      <c r="F735" s="400"/>
      <c r="G735" s="400"/>
      <c r="H735" s="400"/>
      <c r="I735" s="400"/>
      <c r="J735" s="400"/>
      <c r="K735" s="400"/>
      <c r="L735" s="400"/>
      <c r="M735" s="400"/>
      <c r="N735" s="400"/>
      <c r="O735" s="400"/>
      <c r="P735" s="400"/>
      <c r="Q735" s="63"/>
      <c r="R735" s="64"/>
    </row>
    <row r="736" spans="1:20" x14ac:dyDescent="0.2">
      <c r="A736" s="83"/>
      <c r="B736" s="62"/>
      <c r="C736" s="62"/>
      <c r="D736" s="62"/>
      <c r="E736" s="62"/>
      <c r="F736" s="62"/>
      <c r="G736" s="62"/>
      <c r="H736" s="62"/>
      <c r="I736" s="62"/>
      <c r="J736" s="62"/>
      <c r="K736" s="62"/>
      <c r="L736" s="62"/>
      <c r="M736" s="62"/>
      <c r="N736" s="62"/>
      <c r="O736" s="62"/>
      <c r="P736" s="62"/>
      <c r="Q736" s="63"/>
      <c r="R736" s="64"/>
    </row>
    <row r="737" spans="1:20" x14ac:dyDescent="0.2">
      <c r="A737" s="83"/>
      <c r="B737" s="401" t="s">
        <v>281</v>
      </c>
      <c r="C737" s="402"/>
      <c r="D737" s="402"/>
      <c r="E737" s="402"/>
      <c r="F737" s="402"/>
      <c r="G737" s="402"/>
      <c r="H737" s="62"/>
      <c r="I737" s="62"/>
      <c r="J737" s="62"/>
      <c r="K737" s="62"/>
      <c r="L737" s="62"/>
      <c r="M737" s="62"/>
      <c r="N737" s="62"/>
      <c r="O737" s="62"/>
      <c r="P737" s="62"/>
      <c r="Q737" s="63"/>
      <c r="R737" s="64"/>
    </row>
    <row r="738" spans="1:20" ht="15.75" x14ac:dyDescent="0.25">
      <c r="A738" s="83"/>
      <c r="B738" s="402"/>
      <c r="C738" s="402"/>
      <c r="D738" s="402"/>
      <c r="E738" s="402"/>
      <c r="F738" s="402"/>
      <c r="G738" s="402"/>
      <c r="H738" s="82"/>
      <c r="I738" s="403"/>
      <c r="J738" s="403"/>
      <c r="K738" s="403"/>
      <c r="L738" s="403"/>
      <c r="M738" s="403"/>
      <c r="N738" s="403"/>
      <c r="O738" s="403"/>
      <c r="P738" s="403"/>
      <c r="Q738" s="63"/>
      <c r="R738" s="64"/>
    </row>
    <row r="739" spans="1:20" x14ac:dyDescent="0.2">
      <c r="A739" s="83"/>
      <c r="B739" s="400"/>
      <c r="C739" s="400"/>
      <c r="D739" s="400"/>
      <c r="E739" s="400"/>
      <c r="F739" s="400"/>
      <c r="G739" s="400"/>
      <c r="H739" s="400"/>
      <c r="I739" s="400"/>
      <c r="J739" s="400"/>
      <c r="K739" s="400"/>
      <c r="L739" s="400"/>
      <c r="M739" s="403"/>
      <c r="N739" s="403"/>
      <c r="O739" s="403"/>
      <c r="P739" s="403"/>
      <c r="Q739" s="63"/>
      <c r="R739" s="64"/>
    </row>
    <row r="740" spans="1:20" x14ac:dyDescent="0.2">
      <c r="A740" s="83"/>
      <c r="B740" s="404" t="s">
        <v>260</v>
      </c>
      <c r="C740" s="404"/>
      <c r="D740" s="404"/>
      <c r="E740" s="404"/>
      <c r="F740" s="400"/>
      <c r="G740" s="400"/>
      <c r="H740" s="400"/>
      <c r="I740" s="400"/>
      <c r="J740" s="400"/>
      <c r="K740" s="400"/>
      <c r="L740" s="400"/>
      <c r="M740" s="403"/>
      <c r="N740" s="403"/>
      <c r="O740" s="403"/>
      <c r="P740" s="403"/>
      <c r="Q740" s="63"/>
      <c r="R740" s="64"/>
    </row>
    <row r="741" spans="1:20" x14ac:dyDescent="0.2">
      <c r="A741" s="83"/>
      <c r="B741" s="69"/>
      <c r="C741" s="324" t="s">
        <v>75</v>
      </c>
      <c r="D741" s="408"/>
      <c r="E741" s="409"/>
      <c r="F741" s="400"/>
      <c r="G741" s="400"/>
      <c r="H741" s="400"/>
      <c r="I741" s="400"/>
      <c r="J741" s="400"/>
      <c r="K741" s="400"/>
      <c r="L741" s="400"/>
      <c r="M741" s="70"/>
      <c r="N741" s="70"/>
      <c r="O741" s="70"/>
      <c r="P741" s="70"/>
      <c r="Q741" s="63"/>
      <c r="R741" s="64"/>
    </row>
    <row r="742" spans="1:20" x14ac:dyDescent="0.2">
      <c r="A742" s="83"/>
      <c r="B742" s="71"/>
      <c r="C742" s="324" t="s">
        <v>128</v>
      </c>
      <c r="D742" s="408"/>
      <c r="E742" s="409"/>
      <c r="F742" s="400"/>
      <c r="G742" s="400"/>
      <c r="H742" s="400"/>
      <c r="I742" s="400"/>
      <c r="J742" s="400"/>
      <c r="K742" s="400"/>
      <c r="L742" s="400"/>
      <c r="M742" s="407" t="s">
        <v>256</v>
      </c>
      <c r="N742" s="407"/>
      <c r="O742" s="407"/>
      <c r="P742" s="407"/>
      <c r="Q742" s="63"/>
      <c r="R742" s="64"/>
    </row>
    <row r="743" spans="1:20" x14ac:dyDescent="0.2">
      <c r="A743" s="83"/>
      <c r="B743" s="56"/>
      <c r="C743" s="324" t="s">
        <v>282</v>
      </c>
      <c r="D743" s="408"/>
      <c r="E743" s="409"/>
      <c r="F743" s="400"/>
      <c r="G743" s="400"/>
      <c r="H743" s="400"/>
      <c r="I743" s="400"/>
      <c r="J743" s="400"/>
      <c r="K743" s="400"/>
      <c r="L743" s="400"/>
      <c r="M743" s="407"/>
      <c r="N743" s="407"/>
      <c r="O743" s="407"/>
      <c r="P743" s="407"/>
      <c r="Q743" s="63"/>
      <c r="R743" s="64"/>
    </row>
    <row r="744" spans="1:20" x14ac:dyDescent="0.2">
      <c r="A744" s="83"/>
      <c r="B744" s="520"/>
      <c r="C744" s="520"/>
      <c r="D744" s="520"/>
      <c r="E744" s="520"/>
      <c r="F744" s="520"/>
      <c r="G744" s="520"/>
      <c r="H744" s="520"/>
      <c r="I744" s="520"/>
      <c r="J744" s="520"/>
      <c r="K744" s="520"/>
      <c r="L744" s="520"/>
      <c r="M744" s="520"/>
      <c r="N744" s="520"/>
      <c r="O744" s="520"/>
      <c r="P744" s="520"/>
      <c r="Q744" s="63"/>
      <c r="R744" s="64"/>
    </row>
    <row r="745" spans="1:20" x14ac:dyDescent="0.2">
      <c r="A745" s="83"/>
      <c r="B745" s="432" t="s">
        <v>117</v>
      </c>
      <c r="C745" s="433"/>
      <c r="D745" s="434"/>
      <c r="E745" s="442" t="str">
        <f>IF(AND($P$33&gt;=22,NOT(ISBLANK($E$10))),$E$10,"")</f>
        <v/>
      </c>
      <c r="F745" s="443"/>
      <c r="G745" s="444"/>
      <c r="H745" s="414" t="s">
        <v>124</v>
      </c>
      <c r="I745" s="415"/>
      <c r="J745" s="442" t="str">
        <f>IF(AND($P$33&gt;=22,NOT(ISBLANK($J$10))),$J$10,"")</f>
        <v/>
      </c>
      <c r="K745" s="443"/>
      <c r="L745" s="444"/>
      <c r="M745" s="414" t="s">
        <v>118</v>
      </c>
      <c r="N745" s="415"/>
      <c r="O745" s="430" t="str">
        <f>IF(AND($P$33&gt;=22,NOT(ISBLANK($O$10))),$O$10,"")</f>
        <v/>
      </c>
      <c r="P745" s="521"/>
      <c r="Q745" s="63"/>
      <c r="R745" s="545" t="s">
        <v>307</v>
      </c>
      <c r="S745" s="546"/>
      <c r="T745" s="547"/>
    </row>
    <row r="746" spans="1:20" x14ac:dyDescent="0.2">
      <c r="A746" s="83"/>
      <c r="B746" s="432" t="s">
        <v>240</v>
      </c>
      <c r="C746" s="433"/>
      <c r="D746" s="434"/>
      <c r="E746" s="435" t="str">
        <f>IF(NOT($N768=22),"",IF(ISERROR(LOOKUP(22,'Teacher Summary Sheet'!$M$19:$M$181)),"",IF(VLOOKUP(22,'Teacher Summary Sheet'!$M$19:$R$181,2)=0,"",VLOOKUP(22,'Teacher Summary Sheet'!$M$19:$R$181,2))))</f>
        <v/>
      </c>
      <c r="F746" s="436"/>
      <c r="G746" s="437"/>
      <c r="H746" s="438" t="s">
        <v>119</v>
      </c>
      <c r="I746" s="439"/>
      <c r="J746" s="102" t="str">
        <f>IF(NOT($N768=22),"",IF(ISERROR(LOOKUP(22,'Teacher Summary Sheet'!$M$19:$M$181)),"",IF(VLOOKUP(22,'Teacher Summary Sheet'!$M$19:$R$181,6)=0,"",VLOOKUP(22,'Teacher Summary Sheet'!$M$19:$R$181,6))))</f>
        <v/>
      </c>
      <c r="K746" s="414" t="s">
        <v>179</v>
      </c>
      <c r="L746" s="419"/>
      <c r="M746" s="415"/>
      <c r="N746" s="412" t="str">
        <f>IF(NOT($N768=22),"",IF(ISERROR(LOOKUP(22,'Teacher Summary Sheet'!$M$19:$M$181)),"",IF('Teacher Summary Sheet'!$F$31=0,"",'Teacher Summary Sheet'!$F$31)))</f>
        <v/>
      </c>
      <c r="O746" s="440"/>
      <c r="P746" s="413"/>
      <c r="Q746" s="63"/>
      <c r="R746" s="548"/>
      <c r="S746" s="549"/>
      <c r="T746" s="550"/>
    </row>
    <row r="747" spans="1:20" ht="14.25" x14ac:dyDescent="0.2">
      <c r="A747" s="83"/>
      <c r="B747" s="410" t="s">
        <v>241</v>
      </c>
      <c r="C747" s="420"/>
      <c r="D747" s="411"/>
      <c r="E747" s="421" t="str">
        <f>IF(NOT($N768=22),"",IF(ISERROR(LOOKUP(22,'Teacher Summary Sheet'!$M$19:$M$181)),"",IF(VLOOKUP(22,'Teacher Summary Sheet'!$M$19:$R$181,3)=0,"",VLOOKUP(22,'Teacher Summary Sheet'!$M$19:$R$181,3))))</f>
        <v/>
      </c>
      <c r="F747" s="422"/>
      <c r="G747" s="422"/>
      <c r="H747" s="422"/>
      <c r="I747" s="423"/>
      <c r="J747" s="414" t="s">
        <v>124</v>
      </c>
      <c r="K747" s="415"/>
      <c r="L747" s="424" t="str">
        <f>IF(NOT($N768=22),"",IF(ISERROR(LOOKUP(22,'Teacher Summary Sheet'!$M$19:$M$181)),"",IF(VLOOKUP(22,'Teacher Summary Sheet'!$M$19:$R$181,4)=0,"",VLOOKUP(22,'Teacher Summary Sheet'!$M$19:$R$181,4))))</f>
        <v/>
      </c>
      <c r="M747" s="425"/>
      <c r="N747" s="425"/>
      <c r="O747" s="425"/>
      <c r="P747" s="426"/>
      <c r="Q747" s="63"/>
      <c r="R747" s="125" t="str">
        <f>IF(NOT(N768=22),"",IF(COUNTIF(R749:R755,"P")=7,"P","O"))</f>
        <v/>
      </c>
      <c r="S747" s="110" t="str">
        <f>IF(NOT(N768=22),"",IF(COUNTIF(R749:R755,"P")=7,"Complete","Incomplete"))</f>
        <v/>
      </c>
      <c r="T747" s="111"/>
    </row>
    <row r="748" spans="1:20" x14ac:dyDescent="0.2">
      <c r="A748" s="83"/>
      <c r="B748" s="410" t="s">
        <v>120</v>
      </c>
      <c r="C748" s="420"/>
      <c r="D748" s="411"/>
      <c r="E748" s="427"/>
      <c r="F748" s="428"/>
      <c r="G748" s="428"/>
      <c r="H748" s="428"/>
      <c r="I748" s="428"/>
      <c r="J748" s="429"/>
      <c r="K748" s="62" t="s">
        <v>121</v>
      </c>
      <c r="L748" s="427"/>
      <c r="M748" s="428"/>
      <c r="N748" s="428"/>
      <c r="O748" s="428"/>
      <c r="P748" s="429"/>
      <c r="Q748" s="63"/>
    </row>
    <row r="749" spans="1:20" ht="14.25" x14ac:dyDescent="0.2">
      <c r="A749" s="83"/>
      <c r="B749" s="410" t="s">
        <v>196</v>
      </c>
      <c r="C749" s="420"/>
      <c r="D749" s="411"/>
      <c r="E749" s="427"/>
      <c r="F749" s="428"/>
      <c r="G749" s="428"/>
      <c r="H749" s="428"/>
      <c r="I749" s="429"/>
      <c r="J749" s="73" t="s">
        <v>197</v>
      </c>
      <c r="K749" s="405"/>
      <c r="L749" s="406"/>
      <c r="M749" s="414" t="s">
        <v>212</v>
      </c>
      <c r="N749" s="415"/>
      <c r="O749" s="405"/>
      <c r="P749" s="406"/>
      <c r="Q749" s="63"/>
      <c r="R749" s="124" t="str">
        <f>IF(NOT(N768=22),"",IF(OR(COUNTBLANK(E747:E747)=1,COUNTBLANK(L747:L747)=1),"O","P"))</f>
        <v/>
      </c>
      <c r="S749" s="108" t="str">
        <f>IF(NOT(N768=22),"","Candidate Name")</f>
        <v/>
      </c>
      <c r="T749" s="64"/>
    </row>
    <row r="750" spans="1:20" ht="14.25" x14ac:dyDescent="0.2">
      <c r="A750" s="83"/>
      <c r="B750" s="410" t="s">
        <v>198</v>
      </c>
      <c r="C750" s="420"/>
      <c r="D750" s="411"/>
      <c r="E750" s="454"/>
      <c r="F750" s="455"/>
      <c r="G750" s="455"/>
      <c r="H750" s="456"/>
      <c r="I750" s="74" t="s">
        <v>199</v>
      </c>
      <c r="J750" s="427"/>
      <c r="K750" s="428"/>
      <c r="L750" s="428"/>
      <c r="M750" s="428"/>
      <c r="N750" s="428"/>
      <c r="O750" s="428"/>
      <c r="P750" s="429"/>
      <c r="Q750" s="63"/>
      <c r="R750" s="124" t="str">
        <f>IF(NOT(N768=22),"",IF(COUNTBLANK(E746:E746)=1,"O","P"))</f>
        <v/>
      </c>
      <c r="S750" s="108" t="str">
        <f>IF(NOT(N768=22),"","Candidate ID")</f>
        <v/>
      </c>
      <c r="T750" s="64"/>
    </row>
    <row r="751" spans="1:20" ht="14.25" x14ac:dyDescent="0.2">
      <c r="A751" s="83"/>
      <c r="B751" s="410" t="s">
        <v>227</v>
      </c>
      <c r="C751" s="420"/>
      <c r="D751" s="411"/>
      <c r="E751" s="75" t="s">
        <v>218</v>
      </c>
      <c r="F751" s="405"/>
      <c r="G751" s="448"/>
      <c r="H751" s="75" t="s">
        <v>138</v>
      </c>
      <c r="I751" s="449"/>
      <c r="J751" s="450"/>
      <c r="K751" s="76" t="s">
        <v>139</v>
      </c>
      <c r="L751" s="451"/>
      <c r="M751" s="452"/>
      <c r="N751" s="76" t="s">
        <v>228</v>
      </c>
      <c r="O751" s="453" t="str">
        <f ca="1">IF(OR(ISBLANK(L751),ISBLANK(I751),ISBLANK(F751),COUNTBLANK(J746:J746)=1),"",IF(DATEDIF(DATE(L751,VLOOKUP(I751,data!$T$2:$U$13,2,FALSE),F751),IF(AND(TODAY()&lt;data!$AJ$12,TODAY()&gt;data!$AI$12),data!$AI$3,data!$AJ$3),"Y")&gt;=data!$AC$24,YEAR(TODAY())-L751,data!$AD$3))</f>
        <v/>
      </c>
      <c r="P751" s="413"/>
      <c r="Q751" s="63"/>
      <c r="R751" s="124" t="str">
        <f>IF(NOT(N768=22),"",IF(OR(ISBLANK(E748),ISBLANK(L748),ISBLANK(K749),ISBLANK(O749)),"O","P"))</f>
        <v/>
      </c>
      <c r="S751" s="108" t="str">
        <f>IF(NOT(N768=22),"","Address")</f>
        <v/>
      </c>
      <c r="T751" s="64"/>
    </row>
    <row r="752" spans="1:20" ht="15" thickBot="1" x14ac:dyDescent="0.25">
      <c r="A752" s="83"/>
      <c r="B752" s="410" t="s">
        <v>214</v>
      </c>
      <c r="C752" s="411"/>
      <c r="D752" s="412" t="str">
        <f>IF(NOT($N768=22),"",IF(ISERROR(LOOKUP(22,'Teacher Summary Sheet'!$M$19:$M$181)),"",IF(VLOOKUP(22,'Teacher Summary Sheet'!$M$19:$R$181,5)=0,"",VLOOKUP(22,'Teacher Summary Sheet'!$M$19:$R$181,5))))</f>
        <v/>
      </c>
      <c r="E752" s="413"/>
      <c r="F752" s="414" t="s">
        <v>319</v>
      </c>
      <c r="G752" s="415"/>
      <c r="H752" s="416"/>
      <c r="I752" s="417"/>
      <c r="J752" s="418"/>
      <c r="K752" s="414" t="s">
        <v>320</v>
      </c>
      <c r="L752" s="419"/>
      <c r="M752" s="419"/>
      <c r="N752" s="415"/>
      <c r="O752" s="405" t="s">
        <v>268</v>
      </c>
      <c r="P752" s="406"/>
      <c r="Q752" s="63"/>
      <c r="R752" s="124" t="str">
        <f>IF(NOT(N768=22),"",IF(OR(ISBLANK(F751),ISBLANK(I751),ISBLANK(L751)),"O","P"))</f>
        <v/>
      </c>
      <c r="S752" s="108" t="str">
        <f>IF(NOT(N768=22),"","Date of Birth")</f>
        <v/>
      </c>
      <c r="T752" s="64"/>
    </row>
    <row r="753" spans="1:20" ht="14.25" x14ac:dyDescent="0.2">
      <c r="A753" s="83"/>
      <c r="B753" s="522" t="s">
        <v>297</v>
      </c>
      <c r="C753" s="463"/>
      <c r="D753" s="463"/>
      <c r="E753" s="463"/>
      <c r="F753" s="463"/>
      <c r="G753" s="463"/>
      <c r="H753" s="463"/>
      <c r="I753" s="463"/>
      <c r="J753" s="463"/>
      <c r="K753" s="463"/>
      <c r="L753" s="463"/>
      <c r="M753" s="463"/>
      <c r="N753" s="463"/>
      <c r="O753" s="463"/>
      <c r="P753" s="464"/>
      <c r="Q753" s="63"/>
      <c r="R753" s="124" t="str">
        <f>IF(NOT(N768=22),"",IF(COUNTBLANK(J746:J746)=1,"O","P"))</f>
        <v/>
      </c>
      <c r="S753" s="112" t="str">
        <f>IF(NOT(N768=22),"","Exam Level")</f>
        <v/>
      </c>
      <c r="T753" s="64"/>
    </row>
    <row r="754" spans="1:20" ht="14.25" x14ac:dyDescent="0.2">
      <c r="A754" s="83"/>
      <c r="B754" s="465"/>
      <c r="C754" s="466"/>
      <c r="D754" s="466"/>
      <c r="E754" s="466"/>
      <c r="F754" s="466"/>
      <c r="G754" s="466"/>
      <c r="H754" s="466"/>
      <c r="I754" s="466"/>
      <c r="J754" s="466"/>
      <c r="K754" s="466"/>
      <c r="L754" s="466"/>
      <c r="M754" s="466"/>
      <c r="N754" s="466"/>
      <c r="O754" s="466"/>
      <c r="P754" s="467"/>
      <c r="Q754" s="63"/>
      <c r="R754" s="124" t="str">
        <f>IF(NOT(N768=22),"",IF(COUNTBLANK(D752:D752)=1,"O","P"))</f>
        <v/>
      </c>
      <c r="S754" s="109" t="str">
        <f>IF(NOT(N768=22),"","Gender")</f>
        <v/>
      </c>
      <c r="T754" s="64"/>
    </row>
    <row r="755" spans="1:20" ht="14.25" x14ac:dyDescent="0.2">
      <c r="A755" s="83"/>
      <c r="B755" s="432" t="s">
        <v>298</v>
      </c>
      <c r="C755" s="433"/>
      <c r="D755" s="434"/>
      <c r="E755" s="405"/>
      <c r="F755" s="406"/>
      <c r="G755" s="432" t="s">
        <v>299</v>
      </c>
      <c r="H755" s="433"/>
      <c r="I755" s="434"/>
      <c r="J755" s="405"/>
      <c r="K755" s="448"/>
      <c r="L755" s="406"/>
      <c r="M755" s="414" t="s">
        <v>300</v>
      </c>
      <c r="N755" s="415"/>
      <c r="O755" s="457"/>
      <c r="P755" s="458"/>
      <c r="Q755" s="63"/>
      <c r="R755" s="124" t="str">
        <f>IF(NOT(N768=22),"",IF(ISBLANK(H752),"O","P"))</f>
        <v/>
      </c>
      <c r="S755" s="109" t="str">
        <f>IF(NOT(N768=22),"","Height")</f>
        <v/>
      </c>
      <c r="T755" s="64"/>
    </row>
    <row r="756" spans="1:20" x14ac:dyDescent="0.2">
      <c r="A756" s="83"/>
      <c r="B756" s="77" t="s">
        <v>153</v>
      </c>
      <c r="C756" s="405"/>
      <c r="D756" s="406"/>
      <c r="E756" s="414" t="s">
        <v>301</v>
      </c>
      <c r="F756" s="415"/>
      <c r="G756" s="459"/>
      <c r="H756" s="460"/>
      <c r="I756" s="461"/>
      <c r="J756" s="414" t="s">
        <v>302</v>
      </c>
      <c r="K756" s="415"/>
      <c r="L756" s="454"/>
      <c r="M756" s="455"/>
      <c r="N756" s="455"/>
      <c r="O756" s="455"/>
      <c r="P756" s="456"/>
      <c r="Q756" s="63"/>
      <c r="R756" s="64"/>
      <c r="S756" s="64"/>
      <c r="T756" s="64"/>
    </row>
    <row r="757" spans="1:20" x14ac:dyDescent="0.2">
      <c r="A757" s="83"/>
      <c r="B757" s="410" t="s">
        <v>116</v>
      </c>
      <c r="C757" s="420"/>
      <c r="D757" s="420"/>
      <c r="E757" s="420"/>
      <c r="F757" s="420"/>
      <c r="G757" s="420"/>
      <c r="H757" s="420"/>
      <c r="I757" s="420"/>
      <c r="J757" s="420"/>
      <c r="K757" s="420"/>
      <c r="L757" s="420"/>
      <c r="M757" s="420"/>
      <c r="N757" s="420"/>
      <c r="O757" s="420"/>
      <c r="P757" s="411"/>
      <c r="Q757" s="63"/>
      <c r="R757" s="64"/>
      <c r="S757" s="64"/>
      <c r="T757" s="64"/>
    </row>
    <row r="758" spans="1:20" x14ac:dyDescent="0.2">
      <c r="A758" s="83"/>
      <c r="B758" s="410" t="s">
        <v>298</v>
      </c>
      <c r="C758" s="420"/>
      <c r="D758" s="411"/>
      <c r="E758" s="405"/>
      <c r="F758" s="406"/>
      <c r="G758" s="410" t="s">
        <v>299</v>
      </c>
      <c r="H758" s="420"/>
      <c r="I758" s="411"/>
      <c r="J758" s="454"/>
      <c r="K758" s="455"/>
      <c r="L758" s="456"/>
      <c r="M758" s="414" t="s">
        <v>300</v>
      </c>
      <c r="N758" s="415"/>
      <c r="O758" s="457"/>
      <c r="P758" s="458"/>
      <c r="Q758" s="63"/>
      <c r="R758" s="64"/>
    </row>
    <row r="759" spans="1:20" ht="13.5" thickBot="1" x14ac:dyDescent="0.25">
      <c r="A759" s="83"/>
      <c r="B759" s="78" t="s">
        <v>153</v>
      </c>
      <c r="C759" s="492"/>
      <c r="D759" s="493"/>
      <c r="E759" s="494" t="s">
        <v>301</v>
      </c>
      <c r="F759" s="495"/>
      <c r="G759" s="496"/>
      <c r="H759" s="497"/>
      <c r="I759" s="498"/>
      <c r="J759" s="414" t="s">
        <v>302</v>
      </c>
      <c r="K759" s="415"/>
      <c r="L759" s="454"/>
      <c r="M759" s="455"/>
      <c r="N759" s="455"/>
      <c r="O759" s="455"/>
      <c r="P759" s="456"/>
      <c r="Q759" s="63"/>
      <c r="R759" s="64"/>
    </row>
    <row r="760" spans="1:20" x14ac:dyDescent="0.2">
      <c r="A760" s="83"/>
      <c r="B760" s="499" t="s">
        <v>126</v>
      </c>
      <c r="C760" s="500"/>
      <c r="D760" s="500"/>
      <c r="E760" s="500"/>
      <c r="F760" s="500"/>
      <c r="G760" s="500"/>
      <c r="H760" s="500"/>
      <c r="I760" s="501"/>
      <c r="J760" s="505"/>
      <c r="K760" s="506"/>
      <c r="L760" s="506"/>
      <c r="M760" s="506"/>
      <c r="N760" s="506"/>
      <c r="O760" s="506"/>
      <c r="P760" s="507"/>
      <c r="Q760" s="63"/>
      <c r="R760" s="64"/>
    </row>
    <row r="761" spans="1:20" x14ac:dyDescent="0.2">
      <c r="A761" s="83"/>
      <c r="B761" s="502"/>
      <c r="C761" s="503"/>
      <c r="D761" s="503"/>
      <c r="E761" s="503"/>
      <c r="F761" s="503"/>
      <c r="G761" s="503"/>
      <c r="H761" s="503"/>
      <c r="I761" s="504"/>
      <c r="J761" s="508"/>
      <c r="K761" s="509"/>
      <c r="L761" s="509"/>
      <c r="M761" s="509"/>
      <c r="N761" s="509"/>
      <c r="O761" s="509"/>
      <c r="P761" s="510"/>
      <c r="Q761" s="63"/>
      <c r="R761" s="64"/>
    </row>
    <row r="762" spans="1:20" x14ac:dyDescent="0.2">
      <c r="A762" s="83"/>
      <c r="B762" s="514" t="s">
        <v>127</v>
      </c>
      <c r="C762" s="515"/>
      <c r="D762" s="515"/>
      <c r="E762" s="515"/>
      <c r="F762" s="515"/>
      <c r="G762" s="515"/>
      <c r="H762" s="515"/>
      <c r="I762" s="516"/>
      <c r="J762" s="508"/>
      <c r="K762" s="509"/>
      <c r="L762" s="509"/>
      <c r="M762" s="509"/>
      <c r="N762" s="509"/>
      <c r="O762" s="509"/>
      <c r="P762" s="510"/>
      <c r="Q762" s="63"/>
      <c r="R762" s="64"/>
    </row>
    <row r="763" spans="1:20" ht="13.5" thickBot="1" x14ac:dyDescent="0.25">
      <c r="A763" s="83"/>
      <c r="B763" s="517"/>
      <c r="C763" s="518"/>
      <c r="D763" s="518"/>
      <c r="E763" s="518"/>
      <c r="F763" s="518"/>
      <c r="G763" s="518"/>
      <c r="H763" s="518"/>
      <c r="I763" s="519"/>
      <c r="J763" s="511"/>
      <c r="K763" s="512"/>
      <c r="L763" s="512"/>
      <c r="M763" s="512"/>
      <c r="N763" s="512"/>
      <c r="O763" s="512"/>
      <c r="P763" s="513"/>
      <c r="Q763" s="63"/>
      <c r="R763" s="64"/>
    </row>
    <row r="764" spans="1:20" x14ac:dyDescent="0.2">
      <c r="A764" s="83"/>
      <c r="B764" s="480" t="s">
        <v>10</v>
      </c>
      <c r="C764" s="481"/>
      <c r="D764" s="481"/>
      <c r="E764" s="481"/>
      <c r="F764" s="481"/>
      <c r="G764" s="481"/>
      <c r="H764" s="481"/>
      <c r="I764" s="482"/>
      <c r="J764" s="79">
        <v>1</v>
      </c>
      <c r="K764" s="483"/>
      <c r="L764" s="484"/>
      <c r="M764" s="484"/>
      <c r="N764" s="484"/>
      <c r="O764" s="484"/>
      <c r="P764" s="485"/>
      <c r="Q764" s="63"/>
      <c r="R764" s="64"/>
    </row>
    <row r="765" spans="1:20" x14ac:dyDescent="0.2">
      <c r="A765" s="83"/>
      <c r="B765" s="486" t="s">
        <v>276</v>
      </c>
      <c r="C765" s="487"/>
      <c r="D765" s="487"/>
      <c r="E765" s="487"/>
      <c r="F765" s="487"/>
      <c r="G765" s="487"/>
      <c r="H765" s="487"/>
      <c r="I765" s="488"/>
      <c r="J765" s="80">
        <v>2</v>
      </c>
      <c r="K765" s="454"/>
      <c r="L765" s="455"/>
      <c r="M765" s="455"/>
      <c r="N765" s="455"/>
      <c r="O765" s="455"/>
      <c r="P765" s="456"/>
      <c r="Q765" s="63"/>
      <c r="R765" s="64"/>
    </row>
    <row r="766" spans="1:20" x14ac:dyDescent="0.2">
      <c r="A766" s="83"/>
      <c r="B766" s="489" t="s">
        <v>234</v>
      </c>
      <c r="C766" s="490"/>
      <c r="D766" s="490"/>
      <c r="E766" s="490"/>
      <c r="F766" s="490"/>
      <c r="G766" s="490"/>
      <c r="H766" s="490"/>
      <c r="I766" s="491"/>
      <c r="J766" s="80">
        <v>3</v>
      </c>
      <c r="K766" s="454"/>
      <c r="L766" s="455"/>
      <c r="M766" s="455"/>
      <c r="N766" s="455"/>
      <c r="O766" s="455"/>
      <c r="P766" s="456"/>
      <c r="Q766" s="63"/>
      <c r="R766" s="64"/>
    </row>
    <row r="767" spans="1:20" x14ac:dyDescent="0.2">
      <c r="A767" s="83"/>
      <c r="B767" s="468"/>
      <c r="C767" s="468"/>
      <c r="D767" s="468"/>
      <c r="E767" s="468"/>
      <c r="F767" s="468"/>
      <c r="G767" s="468"/>
      <c r="H767" s="468"/>
      <c r="I767" s="468"/>
      <c r="J767" s="468"/>
      <c r="K767" s="468"/>
      <c r="L767" s="468"/>
      <c r="M767" s="468"/>
      <c r="N767" s="468"/>
      <c r="O767" s="468"/>
      <c r="P767" s="468"/>
      <c r="Q767" s="63"/>
      <c r="R767" s="64"/>
    </row>
    <row r="768" spans="1:20" ht="12" customHeight="1" x14ac:dyDescent="0.2">
      <c r="A768" s="83"/>
      <c r="B768" s="469" t="s">
        <v>84</v>
      </c>
      <c r="C768" s="471" t="str">
        <f>IF(CODE(B768)=89,"This candidate would like to receive Special","This candidate would not like to receive Special")</f>
        <v>This candidate would like to receive Special</v>
      </c>
      <c r="D768" s="472"/>
      <c r="E768" s="472"/>
      <c r="F768" s="472"/>
      <c r="G768" s="472"/>
      <c r="H768" s="472"/>
      <c r="I768" s="473"/>
      <c r="J768" s="81"/>
      <c r="K768" s="474" t="s">
        <v>205</v>
      </c>
      <c r="L768" s="474"/>
      <c r="M768" s="475"/>
      <c r="N768" s="51" t="str">
        <f>IF($P$33&gt;=22,22,"")</f>
        <v/>
      </c>
      <c r="O768" s="62" t="s">
        <v>52</v>
      </c>
      <c r="P768" s="51" t="str">
        <f>IF($P$33&gt;=22,$P$33,"")</f>
        <v/>
      </c>
      <c r="Q768" s="63"/>
      <c r="R768" s="64"/>
    </row>
    <row r="769" spans="1:20" ht="12" customHeight="1" x14ac:dyDescent="0.2">
      <c r="A769" s="83"/>
      <c r="B769" s="470"/>
      <c r="C769" s="476" t="str">
        <f>IF(CODE(B768)=89,"Announcements and Bulletins from RAD Canada","Announcements and Bulletins from RAD Canada")</f>
        <v>Announcements and Bulletins from RAD Canada</v>
      </c>
      <c r="D769" s="477"/>
      <c r="E769" s="477"/>
      <c r="F769" s="477"/>
      <c r="G769" s="477"/>
      <c r="H769" s="477"/>
      <c r="I769" s="478"/>
      <c r="J769" s="479"/>
      <c r="K769" s="400"/>
      <c r="L769" s="400"/>
      <c r="M769" s="400"/>
      <c r="N769" s="400"/>
      <c r="O769" s="400"/>
      <c r="P769" s="400"/>
      <c r="Q769" s="63"/>
      <c r="R769" s="64"/>
    </row>
    <row r="770" spans="1:20" x14ac:dyDescent="0.2">
      <c r="A770" s="83"/>
      <c r="B770" s="400"/>
      <c r="C770" s="400"/>
      <c r="D770" s="400"/>
      <c r="E770" s="400"/>
      <c r="F770" s="400"/>
      <c r="G770" s="400"/>
      <c r="H770" s="400"/>
      <c r="I770" s="400"/>
      <c r="J770" s="400"/>
      <c r="K770" s="400"/>
      <c r="L770" s="400"/>
      <c r="M770" s="400"/>
      <c r="N770" s="400"/>
      <c r="O770" s="400"/>
      <c r="P770" s="400"/>
      <c r="Q770" s="63"/>
      <c r="R770" s="64"/>
    </row>
    <row r="771" spans="1:20" x14ac:dyDescent="0.2">
      <c r="A771" s="83"/>
      <c r="B771" s="62"/>
      <c r="C771" s="62"/>
      <c r="D771" s="62"/>
      <c r="E771" s="62"/>
      <c r="F771" s="62"/>
      <c r="G771" s="62"/>
      <c r="H771" s="62"/>
      <c r="I771" s="62"/>
      <c r="J771" s="62"/>
      <c r="K771" s="62"/>
      <c r="L771" s="62"/>
      <c r="M771" s="62"/>
      <c r="N771" s="62"/>
      <c r="O771" s="62"/>
      <c r="P771" s="62"/>
      <c r="Q771" s="63"/>
      <c r="R771" s="64"/>
    </row>
    <row r="772" spans="1:20" x14ac:dyDescent="0.2">
      <c r="A772" s="83"/>
      <c r="B772" s="401" t="s">
        <v>233</v>
      </c>
      <c r="C772" s="402"/>
      <c r="D772" s="402"/>
      <c r="E772" s="402"/>
      <c r="F772" s="402"/>
      <c r="G772" s="402"/>
      <c r="H772" s="62"/>
      <c r="I772" s="62"/>
      <c r="J772" s="62"/>
      <c r="K772" s="62"/>
      <c r="L772" s="62"/>
      <c r="M772" s="62"/>
      <c r="N772" s="62"/>
      <c r="O772" s="62"/>
      <c r="P772" s="62"/>
      <c r="Q772" s="63"/>
      <c r="R772" s="64"/>
    </row>
    <row r="773" spans="1:20" ht="15.75" x14ac:dyDescent="0.25">
      <c r="A773" s="83"/>
      <c r="B773" s="402"/>
      <c r="C773" s="402"/>
      <c r="D773" s="402"/>
      <c r="E773" s="402"/>
      <c r="F773" s="402"/>
      <c r="G773" s="402"/>
      <c r="H773" s="82"/>
      <c r="I773" s="403"/>
      <c r="J773" s="403"/>
      <c r="K773" s="403"/>
      <c r="L773" s="403"/>
      <c r="M773" s="403"/>
      <c r="N773" s="403"/>
      <c r="O773" s="403"/>
      <c r="P773" s="403"/>
      <c r="Q773" s="63"/>
      <c r="R773" s="64"/>
    </row>
    <row r="774" spans="1:20" x14ac:dyDescent="0.2">
      <c r="A774" s="83"/>
      <c r="B774" s="400"/>
      <c r="C774" s="400"/>
      <c r="D774" s="400"/>
      <c r="E774" s="400"/>
      <c r="F774" s="400"/>
      <c r="G774" s="400"/>
      <c r="H774" s="400"/>
      <c r="I774" s="400"/>
      <c r="J774" s="400"/>
      <c r="K774" s="400"/>
      <c r="L774" s="400"/>
      <c r="M774" s="403"/>
      <c r="N774" s="403"/>
      <c r="O774" s="403"/>
      <c r="P774" s="403"/>
      <c r="Q774" s="63"/>
      <c r="R774" s="64"/>
    </row>
    <row r="775" spans="1:20" x14ac:dyDescent="0.2">
      <c r="A775" s="83"/>
      <c r="B775" s="404" t="s">
        <v>260</v>
      </c>
      <c r="C775" s="404"/>
      <c r="D775" s="404"/>
      <c r="E775" s="404"/>
      <c r="F775" s="400"/>
      <c r="G775" s="400"/>
      <c r="H775" s="400"/>
      <c r="I775" s="400"/>
      <c r="J775" s="400"/>
      <c r="K775" s="400"/>
      <c r="L775" s="400"/>
      <c r="M775" s="403"/>
      <c r="N775" s="403"/>
      <c r="O775" s="403"/>
      <c r="P775" s="403"/>
      <c r="Q775" s="63"/>
      <c r="R775" s="64"/>
    </row>
    <row r="776" spans="1:20" x14ac:dyDescent="0.2">
      <c r="A776" s="83"/>
      <c r="B776" s="69"/>
      <c r="C776" s="324" t="s">
        <v>75</v>
      </c>
      <c r="D776" s="408"/>
      <c r="E776" s="409"/>
      <c r="F776" s="400"/>
      <c r="G776" s="400"/>
      <c r="H776" s="400"/>
      <c r="I776" s="400"/>
      <c r="J776" s="400"/>
      <c r="K776" s="400"/>
      <c r="L776" s="400"/>
      <c r="M776" s="70"/>
      <c r="N776" s="70"/>
      <c r="O776" s="70"/>
      <c r="P776" s="70"/>
      <c r="Q776" s="63"/>
      <c r="R776" s="64"/>
    </row>
    <row r="777" spans="1:20" x14ac:dyDescent="0.2">
      <c r="A777" s="83"/>
      <c r="B777" s="71"/>
      <c r="C777" s="324" t="s">
        <v>128</v>
      </c>
      <c r="D777" s="408"/>
      <c r="E777" s="409"/>
      <c r="F777" s="400"/>
      <c r="G777" s="400"/>
      <c r="H777" s="400"/>
      <c r="I777" s="400"/>
      <c r="J777" s="400"/>
      <c r="K777" s="400"/>
      <c r="L777" s="400"/>
      <c r="M777" s="407" t="s">
        <v>256</v>
      </c>
      <c r="N777" s="407"/>
      <c r="O777" s="407"/>
      <c r="P777" s="407"/>
      <c r="Q777" s="63"/>
      <c r="R777" s="64"/>
    </row>
    <row r="778" spans="1:20" x14ac:dyDescent="0.2">
      <c r="A778" s="83"/>
      <c r="B778" s="56"/>
      <c r="C778" s="324" t="s">
        <v>275</v>
      </c>
      <c r="D778" s="408"/>
      <c r="E778" s="409"/>
      <c r="F778" s="400"/>
      <c r="G778" s="400"/>
      <c r="H778" s="400"/>
      <c r="I778" s="400"/>
      <c r="J778" s="400"/>
      <c r="K778" s="400"/>
      <c r="L778" s="400"/>
      <c r="M778" s="407"/>
      <c r="N778" s="407"/>
      <c r="O778" s="407"/>
      <c r="P778" s="407"/>
      <c r="Q778" s="63"/>
      <c r="R778" s="64"/>
    </row>
    <row r="779" spans="1:20" x14ac:dyDescent="0.2">
      <c r="A779" s="83"/>
      <c r="B779" s="520"/>
      <c r="C779" s="520"/>
      <c r="D779" s="520"/>
      <c r="E779" s="520"/>
      <c r="F779" s="520"/>
      <c r="G779" s="520"/>
      <c r="H779" s="520"/>
      <c r="I779" s="520"/>
      <c r="J779" s="520"/>
      <c r="K779" s="520"/>
      <c r="L779" s="520"/>
      <c r="M779" s="520"/>
      <c r="N779" s="520"/>
      <c r="O779" s="520"/>
      <c r="P779" s="520"/>
      <c r="Q779" s="63"/>
      <c r="R779" s="64"/>
    </row>
    <row r="780" spans="1:20" x14ac:dyDescent="0.2">
      <c r="A780" s="83"/>
      <c r="B780" s="432" t="s">
        <v>117</v>
      </c>
      <c r="C780" s="433"/>
      <c r="D780" s="434"/>
      <c r="E780" s="442" t="str">
        <f>IF(AND($P$33&gt;=23,NOT(ISBLANK($E$10))),$E$10,"")</f>
        <v/>
      </c>
      <c r="F780" s="443"/>
      <c r="G780" s="444"/>
      <c r="H780" s="414" t="s">
        <v>124</v>
      </c>
      <c r="I780" s="415"/>
      <c r="J780" s="442" t="str">
        <f>IF(AND($P$33&gt;=23,NOT(ISBLANK($J$10))),$J$10,"")</f>
        <v/>
      </c>
      <c r="K780" s="443"/>
      <c r="L780" s="444"/>
      <c r="M780" s="414" t="s">
        <v>118</v>
      </c>
      <c r="N780" s="415"/>
      <c r="O780" s="430" t="str">
        <f>IF(AND($P$33&gt;=23,NOT(ISBLANK($O$10))),$O$10,"")</f>
        <v/>
      </c>
      <c r="P780" s="521"/>
      <c r="Q780" s="63"/>
      <c r="R780" s="545" t="s">
        <v>307</v>
      </c>
      <c r="S780" s="546"/>
      <c r="T780" s="547"/>
    </row>
    <row r="781" spans="1:20" x14ac:dyDescent="0.2">
      <c r="A781" s="83"/>
      <c r="B781" s="432" t="s">
        <v>240</v>
      </c>
      <c r="C781" s="433"/>
      <c r="D781" s="434"/>
      <c r="E781" s="435" t="str">
        <f>IF(NOT($N803=23),"",IF(ISERROR(LOOKUP(23,'Teacher Summary Sheet'!$M$19:$M$181)),"",IF(VLOOKUP(23,'Teacher Summary Sheet'!$M$19:$R$181,2)=0,"",VLOOKUP(23,'Teacher Summary Sheet'!$M$19:$R$181,2))))</f>
        <v/>
      </c>
      <c r="F781" s="436"/>
      <c r="G781" s="437"/>
      <c r="H781" s="438" t="s">
        <v>119</v>
      </c>
      <c r="I781" s="439"/>
      <c r="J781" s="102" t="str">
        <f>IF(NOT($N803=23),"",IF(ISERROR(LOOKUP(23,'Teacher Summary Sheet'!$M$19:$M$181)),"",IF(VLOOKUP(23,'Teacher Summary Sheet'!$M$19:$R$181,6)=0,"",VLOOKUP(23,'Teacher Summary Sheet'!$M$19:$R$181,6))))</f>
        <v/>
      </c>
      <c r="K781" s="414" t="s">
        <v>179</v>
      </c>
      <c r="L781" s="419"/>
      <c r="M781" s="415"/>
      <c r="N781" s="412" t="str">
        <f>IF(NOT($N803=23),"",IF(ISERROR(LOOKUP(23,'Teacher Summary Sheet'!$M$19:$M$181)),"",IF('Teacher Summary Sheet'!$F$31=0,"",'Teacher Summary Sheet'!$F$31)))</f>
        <v/>
      </c>
      <c r="O781" s="440"/>
      <c r="P781" s="413"/>
      <c r="Q781" s="63"/>
      <c r="R781" s="548"/>
      <c r="S781" s="549"/>
      <c r="T781" s="550"/>
    </row>
    <row r="782" spans="1:20" ht="14.25" x14ac:dyDescent="0.2">
      <c r="A782" s="83"/>
      <c r="B782" s="410" t="s">
        <v>241</v>
      </c>
      <c r="C782" s="420"/>
      <c r="D782" s="411"/>
      <c r="E782" s="421" t="str">
        <f>IF(NOT($N803=23),"",IF(ISERROR(LOOKUP(23,'Teacher Summary Sheet'!$M$19:$M$181)),"",IF(VLOOKUP(23,'Teacher Summary Sheet'!$M$19:$R$181,3)=0,"",VLOOKUP(23,'Teacher Summary Sheet'!$M$19:$R$181,3))))</f>
        <v/>
      </c>
      <c r="F782" s="422"/>
      <c r="G782" s="422"/>
      <c r="H782" s="422"/>
      <c r="I782" s="423"/>
      <c r="J782" s="414" t="s">
        <v>124</v>
      </c>
      <c r="K782" s="415"/>
      <c r="L782" s="424" t="str">
        <f>IF(NOT($N803=23),"",IF(ISERROR(LOOKUP(23,'Teacher Summary Sheet'!$M$19:$M$181)),"",IF(VLOOKUP(23,'Teacher Summary Sheet'!$M$19:$R$181,4)=0,"",VLOOKUP(23,'Teacher Summary Sheet'!$M$19:$R$181,4))))</f>
        <v/>
      </c>
      <c r="M782" s="425"/>
      <c r="N782" s="425"/>
      <c r="O782" s="425"/>
      <c r="P782" s="426"/>
      <c r="Q782" s="63"/>
      <c r="R782" s="125" t="str">
        <f>IF(NOT(N803=23),"",IF(COUNTIF(R784:R790,"P")=7,"P","O"))</f>
        <v/>
      </c>
      <c r="S782" s="110" t="str">
        <f>IF(NOT(N803=23),"",IF(COUNTIF(R784:R790,"P")=7,"Complete","Incomplete"))</f>
        <v/>
      </c>
      <c r="T782" s="111"/>
    </row>
    <row r="783" spans="1:20" x14ac:dyDescent="0.2">
      <c r="A783" s="83"/>
      <c r="B783" s="410" t="s">
        <v>120</v>
      </c>
      <c r="C783" s="420"/>
      <c r="D783" s="411"/>
      <c r="E783" s="427"/>
      <c r="F783" s="428"/>
      <c r="G783" s="428"/>
      <c r="H783" s="428"/>
      <c r="I783" s="428"/>
      <c r="J783" s="429"/>
      <c r="K783" s="62" t="s">
        <v>121</v>
      </c>
      <c r="L783" s="427"/>
      <c r="M783" s="428"/>
      <c r="N783" s="428"/>
      <c r="O783" s="428"/>
      <c r="P783" s="429"/>
      <c r="Q783" s="63"/>
    </row>
    <row r="784" spans="1:20" ht="14.25" x14ac:dyDescent="0.2">
      <c r="A784" s="83"/>
      <c r="B784" s="410" t="s">
        <v>196</v>
      </c>
      <c r="C784" s="420"/>
      <c r="D784" s="411"/>
      <c r="E784" s="427"/>
      <c r="F784" s="428"/>
      <c r="G784" s="428"/>
      <c r="H784" s="428"/>
      <c r="I784" s="429"/>
      <c r="J784" s="73" t="s">
        <v>197</v>
      </c>
      <c r="K784" s="405"/>
      <c r="L784" s="406"/>
      <c r="M784" s="414" t="s">
        <v>212</v>
      </c>
      <c r="N784" s="415"/>
      <c r="O784" s="405"/>
      <c r="P784" s="406"/>
      <c r="Q784" s="63"/>
      <c r="R784" s="124" t="str">
        <f>IF(NOT(N803=23),"",IF(OR(COUNTBLANK(E782:E782)=1,COUNTBLANK(L782:L782)=1),"O","P"))</f>
        <v/>
      </c>
      <c r="S784" s="108" t="str">
        <f>IF(NOT(N803=23),"","Candidate Name")</f>
        <v/>
      </c>
      <c r="T784" s="64"/>
    </row>
    <row r="785" spans="1:20" ht="14.25" x14ac:dyDescent="0.2">
      <c r="A785" s="83"/>
      <c r="B785" s="410" t="s">
        <v>198</v>
      </c>
      <c r="C785" s="420"/>
      <c r="D785" s="411"/>
      <c r="E785" s="454"/>
      <c r="F785" s="455"/>
      <c r="G785" s="455"/>
      <c r="H785" s="456"/>
      <c r="I785" s="74" t="s">
        <v>199</v>
      </c>
      <c r="J785" s="427"/>
      <c r="K785" s="428"/>
      <c r="L785" s="428"/>
      <c r="M785" s="428"/>
      <c r="N785" s="428"/>
      <c r="O785" s="428"/>
      <c r="P785" s="429"/>
      <c r="Q785" s="63"/>
      <c r="R785" s="124" t="str">
        <f>IF(NOT(N803=23),"",IF(COUNTBLANK(E781:E781)=1,"O","P"))</f>
        <v/>
      </c>
      <c r="S785" s="108" t="str">
        <f>IF(NOT(N803=23),"","Candidate ID")</f>
        <v/>
      </c>
      <c r="T785" s="64"/>
    </row>
    <row r="786" spans="1:20" ht="14.25" x14ac:dyDescent="0.2">
      <c r="A786" s="83"/>
      <c r="B786" s="410" t="s">
        <v>227</v>
      </c>
      <c r="C786" s="420"/>
      <c r="D786" s="411"/>
      <c r="E786" s="75" t="s">
        <v>218</v>
      </c>
      <c r="F786" s="405"/>
      <c r="G786" s="448"/>
      <c r="H786" s="75" t="s">
        <v>138</v>
      </c>
      <c r="I786" s="449"/>
      <c r="J786" s="450"/>
      <c r="K786" s="76" t="s">
        <v>139</v>
      </c>
      <c r="L786" s="451"/>
      <c r="M786" s="452"/>
      <c r="N786" s="76" t="s">
        <v>228</v>
      </c>
      <c r="O786" s="453" t="str">
        <f ca="1">IF(OR(ISBLANK(L786),ISBLANK(I786),ISBLANK(F786),COUNTBLANK(J781:J781)=1),"",IF(DATEDIF(DATE(L786,VLOOKUP(I786,data!$T$2:$U$13,2,FALSE),F786),IF(AND(TODAY()&lt;data!$AJ$12,TODAY()&gt;data!$AI$12),data!$AI$3,data!$AJ$3),"Y")&gt;=data!$AC$25,YEAR(TODAY())-L786,data!$AD$3))</f>
        <v/>
      </c>
      <c r="P786" s="413"/>
      <c r="Q786" s="63"/>
      <c r="R786" s="124" t="str">
        <f>IF(NOT(N803=23),"",IF(OR(ISBLANK(E783),ISBLANK(L783),ISBLANK(K784),ISBLANK(O784)),"O","P"))</f>
        <v/>
      </c>
      <c r="S786" s="108" t="str">
        <f>IF(NOT(N803=23),"","Address")</f>
        <v/>
      </c>
      <c r="T786" s="64"/>
    </row>
    <row r="787" spans="1:20" ht="15" thickBot="1" x14ac:dyDescent="0.25">
      <c r="A787" s="83"/>
      <c r="B787" s="410" t="s">
        <v>214</v>
      </c>
      <c r="C787" s="411"/>
      <c r="D787" s="412" t="str">
        <f>IF(NOT($N803=23),"",IF(ISERROR(LOOKUP(23,'Teacher Summary Sheet'!$M$19:$M$181)),"",IF(VLOOKUP(23,'Teacher Summary Sheet'!$M$19:$R$181,5)=0,"",VLOOKUP(23,'Teacher Summary Sheet'!$M$19:$R$181,5))))</f>
        <v/>
      </c>
      <c r="E787" s="413"/>
      <c r="F787" s="414" t="s">
        <v>319</v>
      </c>
      <c r="G787" s="415"/>
      <c r="H787" s="416"/>
      <c r="I787" s="417"/>
      <c r="J787" s="418"/>
      <c r="K787" s="414" t="s">
        <v>320</v>
      </c>
      <c r="L787" s="419"/>
      <c r="M787" s="419"/>
      <c r="N787" s="415"/>
      <c r="O787" s="405" t="s">
        <v>268</v>
      </c>
      <c r="P787" s="406"/>
      <c r="Q787" s="63"/>
      <c r="R787" s="124" t="str">
        <f>IF(NOT(N803=23),"",IF(OR(ISBLANK(F786),ISBLANK(I786),ISBLANK(L786)),"O","P"))</f>
        <v/>
      </c>
      <c r="S787" s="108" t="str">
        <f>IF(NOT(N803=23),"","Date of Birth")</f>
        <v/>
      </c>
      <c r="T787" s="64"/>
    </row>
    <row r="788" spans="1:20" ht="14.25" x14ac:dyDescent="0.2">
      <c r="A788" s="83"/>
      <c r="B788" s="522" t="s">
        <v>297</v>
      </c>
      <c r="C788" s="463"/>
      <c r="D788" s="463"/>
      <c r="E788" s="463"/>
      <c r="F788" s="463"/>
      <c r="G788" s="463"/>
      <c r="H788" s="463"/>
      <c r="I788" s="463"/>
      <c r="J788" s="463"/>
      <c r="K788" s="463"/>
      <c r="L788" s="463"/>
      <c r="M788" s="463"/>
      <c r="N788" s="463"/>
      <c r="O788" s="463"/>
      <c r="P788" s="464"/>
      <c r="Q788" s="63"/>
      <c r="R788" s="124" t="str">
        <f>IF(NOT(N803=23),"",IF(COUNTBLANK(J781:J781)=1,"O","P"))</f>
        <v/>
      </c>
      <c r="S788" s="112" t="str">
        <f>IF(NOT(N803=23),"","Exam Level")</f>
        <v/>
      </c>
      <c r="T788" s="64"/>
    </row>
    <row r="789" spans="1:20" ht="14.25" x14ac:dyDescent="0.2">
      <c r="A789" s="83"/>
      <c r="B789" s="465"/>
      <c r="C789" s="466"/>
      <c r="D789" s="466"/>
      <c r="E789" s="466"/>
      <c r="F789" s="466"/>
      <c r="G789" s="466"/>
      <c r="H789" s="466"/>
      <c r="I789" s="466"/>
      <c r="J789" s="466"/>
      <c r="K789" s="466"/>
      <c r="L789" s="466"/>
      <c r="M789" s="466"/>
      <c r="N789" s="466"/>
      <c r="O789" s="466"/>
      <c r="P789" s="467"/>
      <c r="Q789" s="63"/>
      <c r="R789" s="124" t="str">
        <f>IF(NOT(N803=23),"",IF(COUNTBLANK(D787:D787)=1,"O","P"))</f>
        <v/>
      </c>
      <c r="S789" s="109" t="str">
        <f>IF(NOT(N803=23),"","Gender")</f>
        <v/>
      </c>
      <c r="T789" s="64"/>
    </row>
    <row r="790" spans="1:20" ht="14.25" x14ac:dyDescent="0.2">
      <c r="A790" s="83"/>
      <c r="B790" s="432" t="s">
        <v>298</v>
      </c>
      <c r="C790" s="433"/>
      <c r="D790" s="434"/>
      <c r="E790" s="405"/>
      <c r="F790" s="406"/>
      <c r="G790" s="432" t="s">
        <v>299</v>
      </c>
      <c r="H790" s="433"/>
      <c r="I790" s="434"/>
      <c r="J790" s="405"/>
      <c r="K790" s="448"/>
      <c r="L790" s="406"/>
      <c r="M790" s="414" t="s">
        <v>300</v>
      </c>
      <c r="N790" s="415"/>
      <c r="O790" s="457"/>
      <c r="P790" s="458"/>
      <c r="Q790" s="63"/>
      <c r="R790" s="124" t="str">
        <f>IF(NOT(N803=23),"",IF(ISBLANK(H787),"O","P"))</f>
        <v/>
      </c>
      <c r="S790" s="109" t="str">
        <f>IF(NOT(N803=23),"","Height")</f>
        <v/>
      </c>
      <c r="T790" s="64"/>
    </row>
    <row r="791" spans="1:20" x14ac:dyDescent="0.2">
      <c r="A791" s="83"/>
      <c r="B791" s="77" t="s">
        <v>153</v>
      </c>
      <c r="C791" s="405"/>
      <c r="D791" s="406"/>
      <c r="E791" s="414" t="s">
        <v>301</v>
      </c>
      <c r="F791" s="415"/>
      <c r="G791" s="459"/>
      <c r="H791" s="460"/>
      <c r="I791" s="461"/>
      <c r="J791" s="414" t="s">
        <v>302</v>
      </c>
      <c r="K791" s="415"/>
      <c r="L791" s="454"/>
      <c r="M791" s="455"/>
      <c r="N791" s="455"/>
      <c r="O791" s="455"/>
      <c r="P791" s="456"/>
      <c r="Q791" s="63"/>
      <c r="R791" s="64"/>
      <c r="S791" s="64"/>
      <c r="T791" s="64"/>
    </row>
    <row r="792" spans="1:20" x14ac:dyDescent="0.2">
      <c r="A792" s="83"/>
      <c r="B792" s="410" t="s">
        <v>116</v>
      </c>
      <c r="C792" s="420"/>
      <c r="D792" s="420"/>
      <c r="E792" s="420"/>
      <c r="F792" s="420"/>
      <c r="G792" s="420"/>
      <c r="H792" s="420"/>
      <c r="I792" s="420"/>
      <c r="J792" s="420"/>
      <c r="K792" s="420"/>
      <c r="L792" s="420"/>
      <c r="M792" s="420"/>
      <c r="N792" s="420"/>
      <c r="O792" s="420"/>
      <c r="P792" s="411"/>
      <c r="Q792" s="63"/>
      <c r="R792" s="64"/>
      <c r="S792" s="64"/>
      <c r="T792" s="64"/>
    </row>
    <row r="793" spans="1:20" x14ac:dyDescent="0.2">
      <c r="A793" s="83"/>
      <c r="B793" s="410" t="s">
        <v>298</v>
      </c>
      <c r="C793" s="420"/>
      <c r="D793" s="411"/>
      <c r="E793" s="405"/>
      <c r="F793" s="406"/>
      <c r="G793" s="410" t="s">
        <v>299</v>
      </c>
      <c r="H793" s="420"/>
      <c r="I793" s="411"/>
      <c r="J793" s="454"/>
      <c r="K793" s="455"/>
      <c r="L793" s="456"/>
      <c r="M793" s="414" t="s">
        <v>300</v>
      </c>
      <c r="N793" s="415"/>
      <c r="O793" s="457"/>
      <c r="P793" s="458"/>
      <c r="Q793" s="63"/>
      <c r="R793" s="64"/>
    </row>
    <row r="794" spans="1:20" ht="13.5" thickBot="1" x14ac:dyDescent="0.25">
      <c r="A794" s="83"/>
      <c r="B794" s="78" t="s">
        <v>153</v>
      </c>
      <c r="C794" s="492"/>
      <c r="D794" s="493"/>
      <c r="E794" s="494" t="s">
        <v>301</v>
      </c>
      <c r="F794" s="495"/>
      <c r="G794" s="496"/>
      <c r="H794" s="497"/>
      <c r="I794" s="498"/>
      <c r="J794" s="414" t="s">
        <v>302</v>
      </c>
      <c r="K794" s="415"/>
      <c r="L794" s="454"/>
      <c r="M794" s="455"/>
      <c r="N794" s="455"/>
      <c r="O794" s="455"/>
      <c r="P794" s="456"/>
      <c r="Q794" s="63"/>
      <c r="R794" s="64"/>
    </row>
    <row r="795" spans="1:20" x14ac:dyDescent="0.2">
      <c r="A795" s="83"/>
      <c r="B795" s="499" t="s">
        <v>126</v>
      </c>
      <c r="C795" s="500"/>
      <c r="D795" s="500"/>
      <c r="E795" s="500"/>
      <c r="F795" s="500"/>
      <c r="G795" s="500"/>
      <c r="H795" s="500"/>
      <c r="I795" s="501"/>
      <c r="J795" s="505"/>
      <c r="K795" s="506"/>
      <c r="L795" s="506"/>
      <c r="M795" s="506"/>
      <c r="N795" s="506"/>
      <c r="O795" s="506"/>
      <c r="P795" s="507"/>
      <c r="Q795" s="63"/>
      <c r="R795" s="64"/>
    </row>
    <row r="796" spans="1:20" x14ac:dyDescent="0.2">
      <c r="A796" s="83"/>
      <c r="B796" s="502"/>
      <c r="C796" s="503"/>
      <c r="D796" s="503"/>
      <c r="E796" s="503"/>
      <c r="F796" s="503"/>
      <c r="G796" s="503"/>
      <c r="H796" s="503"/>
      <c r="I796" s="504"/>
      <c r="J796" s="508"/>
      <c r="K796" s="509"/>
      <c r="L796" s="509"/>
      <c r="M796" s="509"/>
      <c r="N796" s="509"/>
      <c r="O796" s="509"/>
      <c r="P796" s="510"/>
      <c r="Q796" s="63"/>
      <c r="R796" s="64"/>
    </row>
    <row r="797" spans="1:20" x14ac:dyDescent="0.2">
      <c r="A797" s="83"/>
      <c r="B797" s="514" t="s">
        <v>127</v>
      </c>
      <c r="C797" s="515"/>
      <c r="D797" s="515"/>
      <c r="E797" s="515"/>
      <c r="F797" s="515"/>
      <c r="G797" s="515"/>
      <c r="H797" s="515"/>
      <c r="I797" s="516"/>
      <c r="J797" s="508"/>
      <c r="K797" s="509"/>
      <c r="L797" s="509"/>
      <c r="M797" s="509"/>
      <c r="N797" s="509"/>
      <c r="O797" s="509"/>
      <c r="P797" s="510"/>
      <c r="Q797" s="63"/>
      <c r="R797" s="64"/>
    </row>
    <row r="798" spans="1:20" ht="13.5" thickBot="1" x14ac:dyDescent="0.25">
      <c r="A798" s="83"/>
      <c r="B798" s="517"/>
      <c r="C798" s="518"/>
      <c r="D798" s="518"/>
      <c r="E798" s="518"/>
      <c r="F798" s="518"/>
      <c r="G798" s="518"/>
      <c r="H798" s="518"/>
      <c r="I798" s="519"/>
      <c r="J798" s="511"/>
      <c r="K798" s="512"/>
      <c r="L798" s="512"/>
      <c r="M798" s="512"/>
      <c r="N798" s="512"/>
      <c r="O798" s="512"/>
      <c r="P798" s="513"/>
      <c r="Q798" s="63"/>
      <c r="R798" s="64"/>
    </row>
    <row r="799" spans="1:20" x14ac:dyDescent="0.2">
      <c r="A799" s="83"/>
      <c r="B799" s="480" t="s">
        <v>10</v>
      </c>
      <c r="C799" s="481"/>
      <c r="D799" s="481"/>
      <c r="E799" s="481"/>
      <c r="F799" s="481"/>
      <c r="G799" s="481"/>
      <c r="H799" s="481"/>
      <c r="I799" s="482"/>
      <c r="J799" s="79">
        <v>1</v>
      </c>
      <c r="K799" s="483"/>
      <c r="L799" s="484"/>
      <c r="M799" s="484"/>
      <c r="N799" s="484"/>
      <c r="O799" s="484"/>
      <c r="P799" s="485"/>
      <c r="Q799" s="63"/>
      <c r="R799" s="64"/>
    </row>
    <row r="800" spans="1:20" x14ac:dyDescent="0.2">
      <c r="A800" s="83"/>
      <c r="B800" s="486" t="s">
        <v>276</v>
      </c>
      <c r="C800" s="487"/>
      <c r="D800" s="487"/>
      <c r="E800" s="487"/>
      <c r="F800" s="487"/>
      <c r="G800" s="487"/>
      <c r="H800" s="487"/>
      <c r="I800" s="488"/>
      <c r="J800" s="80">
        <v>2</v>
      </c>
      <c r="K800" s="454"/>
      <c r="L800" s="455"/>
      <c r="M800" s="455"/>
      <c r="N800" s="455"/>
      <c r="O800" s="455"/>
      <c r="P800" s="456"/>
      <c r="Q800" s="63"/>
      <c r="R800" s="64"/>
    </row>
    <row r="801" spans="1:20" x14ac:dyDescent="0.2">
      <c r="A801" s="83"/>
      <c r="B801" s="489" t="s">
        <v>234</v>
      </c>
      <c r="C801" s="490"/>
      <c r="D801" s="490"/>
      <c r="E801" s="490"/>
      <c r="F801" s="490"/>
      <c r="G801" s="490"/>
      <c r="H801" s="490"/>
      <c r="I801" s="491"/>
      <c r="J801" s="80">
        <v>3</v>
      </c>
      <c r="K801" s="454"/>
      <c r="L801" s="455"/>
      <c r="M801" s="455"/>
      <c r="N801" s="455"/>
      <c r="O801" s="455"/>
      <c r="P801" s="456"/>
      <c r="Q801" s="63"/>
      <c r="R801" s="64"/>
    </row>
    <row r="802" spans="1:20" x14ac:dyDescent="0.2">
      <c r="A802" s="83"/>
      <c r="B802" s="468"/>
      <c r="C802" s="468"/>
      <c r="D802" s="468"/>
      <c r="E802" s="468"/>
      <c r="F802" s="468"/>
      <c r="G802" s="468"/>
      <c r="H802" s="468"/>
      <c r="I802" s="468"/>
      <c r="J802" s="468"/>
      <c r="K802" s="468"/>
      <c r="L802" s="468"/>
      <c r="M802" s="468"/>
      <c r="N802" s="468"/>
      <c r="O802" s="468"/>
      <c r="P802" s="468"/>
      <c r="Q802" s="63"/>
      <c r="R802" s="64"/>
    </row>
    <row r="803" spans="1:20" ht="12" customHeight="1" x14ac:dyDescent="0.2">
      <c r="A803" s="83"/>
      <c r="B803" s="469" t="s">
        <v>84</v>
      </c>
      <c r="C803" s="471" t="str">
        <f>IF(CODE(B803)=89,"This candidate would like to receive Special","This candidate would not like to receive Special")</f>
        <v>This candidate would like to receive Special</v>
      </c>
      <c r="D803" s="472"/>
      <c r="E803" s="472"/>
      <c r="F803" s="472"/>
      <c r="G803" s="472"/>
      <c r="H803" s="472"/>
      <c r="I803" s="473"/>
      <c r="J803" s="81"/>
      <c r="K803" s="474" t="s">
        <v>235</v>
      </c>
      <c r="L803" s="474"/>
      <c r="M803" s="475"/>
      <c r="N803" s="51" t="str">
        <f>IF($P$33&gt;=23,23,"")</f>
        <v/>
      </c>
      <c r="O803" s="62" t="s">
        <v>52</v>
      </c>
      <c r="P803" s="51" t="str">
        <f>IF($P$33&gt;=23,$P$33,"")</f>
        <v/>
      </c>
      <c r="Q803" s="63"/>
      <c r="R803" s="64"/>
    </row>
    <row r="804" spans="1:20" ht="12" customHeight="1" x14ac:dyDescent="0.2">
      <c r="A804" s="83"/>
      <c r="B804" s="470"/>
      <c r="C804" s="476" t="str">
        <f>IF(CODE(B803)=89,"Announcements and Bulletins from RAD Canada","Announcements and Bulletins from RAD Canada")</f>
        <v>Announcements and Bulletins from RAD Canada</v>
      </c>
      <c r="D804" s="477"/>
      <c r="E804" s="477"/>
      <c r="F804" s="477"/>
      <c r="G804" s="477"/>
      <c r="H804" s="477"/>
      <c r="I804" s="478"/>
      <c r="J804" s="479"/>
      <c r="K804" s="400"/>
      <c r="L804" s="400"/>
      <c r="M804" s="400"/>
      <c r="N804" s="400"/>
      <c r="O804" s="400"/>
      <c r="P804" s="400"/>
      <c r="Q804" s="63"/>
      <c r="R804" s="64"/>
    </row>
    <row r="805" spans="1:20" x14ac:dyDescent="0.2">
      <c r="A805" s="83"/>
      <c r="B805" s="400"/>
      <c r="C805" s="400"/>
      <c r="D805" s="400"/>
      <c r="E805" s="400"/>
      <c r="F805" s="400"/>
      <c r="G805" s="400"/>
      <c r="H805" s="400"/>
      <c r="I805" s="400"/>
      <c r="J805" s="400"/>
      <c r="K805" s="400"/>
      <c r="L805" s="400"/>
      <c r="M805" s="400"/>
      <c r="N805" s="400"/>
      <c r="O805" s="400"/>
      <c r="P805" s="400"/>
      <c r="Q805" s="63"/>
      <c r="R805" s="64"/>
    </row>
    <row r="806" spans="1:20" x14ac:dyDescent="0.2">
      <c r="A806" s="83"/>
      <c r="B806" s="62"/>
      <c r="C806" s="62"/>
      <c r="D806" s="62"/>
      <c r="E806" s="62"/>
      <c r="F806" s="62"/>
      <c r="G806" s="62"/>
      <c r="H806" s="62"/>
      <c r="I806" s="62"/>
      <c r="J806" s="62"/>
      <c r="K806" s="62"/>
      <c r="L806" s="62"/>
      <c r="M806" s="62"/>
      <c r="N806" s="62"/>
      <c r="O806" s="62"/>
      <c r="P806" s="62"/>
      <c r="Q806" s="63"/>
      <c r="R806" s="64"/>
    </row>
    <row r="807" spans="1:20" x14ac:dyDescent="0.2">
      <c r="A807" s="83"/>
      <c r="B807" s="401" t="s">
        <v>281</v>
      </c>
      <c r="C807" s="402"/>
      <c r="D807" s="402"/>
      <c r="E807" s="402"/>
      <c r="F807" s="402"/>
      <c r="G807" s="402"/>
      <c r="H807" s="62"/>
      <c r="I807" s="62"/>
      <c r="J807" s="62"/>
      <c r="K807" s="62"/>
      <c r="L807" s="62"/>
      <c r="M807" s="62"/>
      <c r="N807" s="62"/>
      <c r="O807" s="62"/>
      <c r="P807" s="62"/>
      <c r="Q807" s="63"/>
      <c r="R807" s="64"/>
    </row>
    <row r="808" spans="1:20" ht="15.75" x14ac:dyDescent="0.25">
      <c r="A808" s="83"/>
      <c r="B808" s="402"/>
      <c r="C808" s="402"/>
      <c r="D808" s="402"/>
      <c r="E808" s="402"/>
      <c r="F808" s="402"/>
      <c r="G808" s="402"/>
      <c r="H808" s="82"/>
      <c r="I808" s="403"/>
      <c r="J808" s="403"/>
      <c r="K808" s="403"/>
      <c r="L808" s="403"/>
      <c r="M808" s="403"/>
      <c r="N808" s="403"/>
      <c r="O808" s="403"/>
      <c r="P808" s="403"/>
      <c r="Q808" s="63"/>
      <c r="R808" s="64"/>
    </row>
    <row r="809" spans="1:20" x14ac:dyDescent="0.2">
      <c r="A809" s="83"/>
      <c r="B809" s="400"/>
      <c r="C809" s="400"/>
      <c r="D809" s="400"/>
      <c r="E809" s="400"/>
      <c r="F809" s="400"/>
      <c r="G809" s="400"/>
      <c r="H809" s="400"/>
      <c r="I809" s="400"/>
      <c r="J809" s="400"/>
      <c r="K809" s="400"/>
      <c r="L809" s="400"/>
      <c r="M809" s="403"/>
      <c r="N809" s="403"/>
      <c r="O809" s="403"/>
      <c r="P809" s="403"/>
      <c r="Q809" s="63"/>
      <c r="R809" s="64"/>
    </row>
    <row r="810" spans="1:20" x14ac:dyDescent="0.2">
      <c r="A810" s="83"/>
      <c r="B810" s="404" t="s">
        <v>260</v>
      </c>
      <c r="C810" s="404"/>
      <c r="D810" s="404"/>
      <c r="E810" s="404"/>
      <c r="F810" s="400"/>
      <c r="G810" s="400"/>
      <c r="H810" s="400"/>
      <c r="I810" s="400"/>
      <c r="J810" s="400"/>
      <c r="K810" s="400"/>
      <c r="L810" s="400"/>
      <c r="M810" s="403"/>
      <c r="N810" s="403"/>
      <c r="O810" s="403"/>
      <c r="P810" s="403"/>
      <c r="Q810" s="63"/>
      <c r="R810" s="64"/>
    </row>
    <row r="811" spans="1:20" x14ac:dyDescent="0.2">
      <c r="A811" s="83"/>
      <c r="B811" s="69"/>
      <c r="C811" s="324" t="s">
        <v>75</v>
      </c>
      <c r="D811" s="408"/>
      <c r="E811" s="409"/>
      <c r="F811" s="400"/>
      <c r="G811" s="400"/>
      <c r="H811" s="400"/>
      <c r="I811" s="400"/>
      <c r="J811" s="400"/>
      <c r="K811" s="400"/>
      <c r="L811" s="400"/>
      <c r="M811" s="70"/>
      <c r="N811" s="70"/>
      <c r="O811" s="70"/>
      <c r="P811" s="70"/>
      <c r="Q811" s="63"/>
      <c r="R811" s="64"/>
    </row>
    <row r="812" spans="1:20" x14ac:dyDescent="0.2">
      <c r="A812" s="83"/>
      <c r="B812" s="71"/>
      <c r="C812" s="324" t="s">
        <v>128</v>
      </c>
      <c r="D812" s="408"/>
      <c r="E812" s="409"/>
      <c r="F812" s="400"/>
      <c r="G812" s="400"/>
      <c r="H812" s="400"/>
      <c r="I812" s="400"/>
      <c r="J812" s="400"/>
      <c r="K812" s="400"/>
      <c r="L812" s="400"/>
      <c r="M812" s="407" t="s">
        <v>256</v>
      </c>
      <c r="N812" s="407"/>
      <c r="O812" s="407"/>
      <c r="P812" s="407"/>
      <c r="Q812" s="63"/>
      <c r="R812" s="64"/>
    </row>
    <row r="813" spans="1:20" x14ac:dyDescent="0.2">
      <c r="A813" s="83"/>
      <c r="B813" s="56"/>
      <c r="C813" s="324" t="s">
        <v>282</v>
      </c>
      <c r="D813" s="408"/>
      <c r="E813" s="409"/>
      <c r="F813" s="400"/>
      <c r="G813" s="400"/>
      <c r="H813" s="400"/>
      <c r="I813" s="400"/>
      <c r="J813" s="400"/>
      <c r="K813" s="400"/>
      <c r="L813" s="400"/>
      <c r="M813" s="407"/>
      <c r="N813" s="407"/>
      <c r="O813" s="407"/>
      <c r="P813" s="407"/>
      <c r="Q813" s="63"/>
      <c r="R813" s="64"/>
    </row>
    <row r="814" spans="1:20" x14ac:dyDescent="0.2">
      <c r="A814" s="83"/>
      <c r="B814" s="520"/>
      <c r="C814" s="520"/>
      <c r="D814" s="520"/>
      <c r="E814" s="520"/>
      <c r="F814" s="520"/>
      <c r="G814" s="520"/>
      <c r="H814" s="520"/>
      <c r="I814" s="520"/>
      <c r="J814" s="520"/>
      <c r="K814" s="520"/>
      <c r="L814" s="520"/>
      <c r="M814" s="520"/>
      <c r="N814" s="520"/>
      <c r="O814" s="520"/>
      <c r="P814" s="520"/>
      <c r="Q814" s="63"/>
      <c r="R814" s="64"/>
    </row>
    <row r="815" spans="1:20" x14ac:dyDescent="0.2">
      <c r="A815" s="83"/>
      <c r="B815" s="432" t="s">
        <v>117</v>
      </c>
      <c r="C815" s="433"/>
      <c r="D815" s="434"/>
      <c r="E815" s="442" t="str">
        <f>IF(AND($P$33&gt;=24,NOT(ISBLANK($E$10))),$E$10,"")</f>
        <v/>
      </c>
      <c r="F815" s="443"/>
      <c r="G815" s="444"/>
      <c r="H815" s="414" t="s">
        <v>124</v>
      </c>
      <c r="I815" s="415"/>
      <c r="J815" s="442" t="str">
        <f>IF(AND($P$33&gt;=24,NOT(ISBLANK($J$10))),$J$10,"")</f>
        <v/>
      </c>
      <c r="K815" s="443"/>
      <c r="L815" s="444"/>
      <c r="M815" s="414" t="s">
        <v>118</v>
      </c>
      <c r="N815" s="415"/>
      <c r="O815" s="430" t="str">
        <f>IF(AND($P$33&gt;=24,NOT(ISBLANK($O$10))),$O$10,"")</f>
        <v/>
      </c>
      <c r="P815" s="521"/>
      <c r="Q815" s="63"/>
      <c r="R815" s="545" t="s">
        <v>307</v>
      </c>
      <c r="S815" s="546"/>
      <c r="T815" s="547"/>
    </row>
    <row r="816" spans="1:20" x14ac:dyDescent="0.2">
      <c r="A816" s="83"/>
      <c r="B816" s="432" t="s">
        <v>240</v>
      </c>
      <c r="C816" s="433"/>
      <c r="D816" s="434"/>
      <c r="E816" s="435" t="str">
        <f>IF(NOT($N838=24),"",IF(ISERROR(LOOKUP(24,'Teacher Summary Sheet'!$M$19:$M$181)),"",IF(VLOOKUP(24,'Teacher Summary Sheet'!$M$19:$R$181,2)=0,"",VLOOKUP(24,'Teacher Summary Sheet'!$M$19:$R$181,2))))</f>
        <v/>
      </c>
      <c r="F816" s="436"/>
      <c r="G816" s="437"/>
      <c r="H816" s="438" t="s">
        <v>119</v>
      </c>
      <c r="I816" s="439"/>
      <c r="J816" s="102" t="str">
        <f>IF(NOT($N838=24),"",IF(ISERROR(LOOKUP(24,'Teacher Summary Sheet'!$M$19:$M$181)),"",IF(VLOOKUP(24,'Teacher Summary Sheet'!$M$19:$R$181,6)=0,"",VLOOKUP(24,'Teacher Summary Sheet'!$M$19:$R$181,6))))</f>
        <v/>
      </c>
      <c r="K816" s="414" t="s">
        <v>179</v>
      </c>
      <c r="L816" s="419"/>
      <c r="M816" s="415"/>
      <c r="N816" s="412" t="str">
        <f>IF(NOT($N838=24),"",IF(ISERROR(LOOKUP(24,'Teacher Summary Sheet'!$M$19:$M$181)),"",IF('Teacher Summary Sheet'!$F$31=0,"",'Teacher Summary Sheet'!$F$31)))</f>
        <v/>
      </c>
      <c r="O816" s="440"/>
      <c r="P816" s="413"/>
      <c r="Q816" s="63"/>
      <c r="R816" s="548"/>
      <c r="S816" s="549"/>
      <c r="T816" s="550"/>
    </row>
    <row r="817" spans="1:20" ht="14.25" x14ac:dyDescent="0.2">
      <c r="A817" s="83"/>
      <c r="B817" s="410" t="s">
        <v>241</v>
      </c>
      <c r="C817" s="420"/>
      <c r="D817" s="411"/>
      <c r="E817" s="421" t="str">
        <f>IF(NOT($N838=24),"",IF(ISERROR(LOOKUP(24,'Teacher Summary Sheet'!$M$19:$M$181)),"",IF(VLOOKUP(24,'Teacher Summary Sheet'!$M$19:$R$181,3)=0,"",VLOOKUP(24,'Teacher Summary Sheet'!$M$19:$R$181,3))))</f>
        <v/>
      </c>
      <c r="F817" s="422"/>
      <c r="G817" s="422"/>
      <c r="H817" s="422"/>
      <c r="I817" s="423"/>
      <c r="J817" s="414" t="s">
        <v>124</v>
      </c>
      <c r="K817" s="415"/>
      <c r="L817" s="424" t="str">
        <f>IF(NOT($N838=24),"",IF(ISERROR(LOOKUP(24,'Teacher Summary Sheet'!$M$19:$M$181)),"",IF(VLOOKUP(24,'Teacher Summary Sheet'!$M$19:$R$181,4)=0,"",VLOOKUP(24,'Teacher Summary Sheet'!$M$19:$R$181,4))))</f>
        <v/>
      </c>
      <c r="M817" s="425"/>
      <c r="N817" s="425"/>
      <c r="O817" s="425"/>
      <c r="P817" s="426"/>
      <c r="Q817" s="63"/>
      <c r="R817" s="125" t="str">
        <f>IF(NOT(N838=24),"",IF(COUNTIF(R819:R825,"P")=7,"P","O"))</f>
        <v/>
      </c>
      <c r="S817" s="110" t="str">
        <f>IF(NOT(N838=24),"",IF(COUNTIF(R819:R825,"P")=7,"Complete","Incomplete"))</f>
        <v/>
      </c>
      <c r="T817" s="111"/>
    </row>
    <row r="818" spans="1:20" x14ac:dyDescent="0.2">
      <c r="A818" s="83"/>
      <c r="B818" s="410" t="s">
        <v>120</v>
      </c>
      <c r="C818" s="420"/>
      <c r="D818" s="411"/>
      <c r="E818" s="427"/>
      <c r="F818" s="428"/>
      <c r="G818" s="428"/>
      <c r="H818" s="428"/>
      <c r="I818" s="428"/>
      <c r="J818" s="429"/>
      <c r="K818" s="62" t="s">
        <v>121</v>
      </c>
      <c r="L818" s="427"/>
      <c r="M818" s="428"/>
      <c r="N818" s="428"/>
      <c r="O818" s="428"/>
      <c r="P818" s="429"/>
      <c r="Q818" s="63"/>
    </row>
    <row r="819" spans="1:20" ht="14.25" x14ac:dyDescent="0.2">
      <c r="A819" s="83"/>
      <c r="B819" s="410" t="s">
        <v>196</v>
      </c>
      <c r="C819" s="420"/>
      <c r="D819" s="411"/>
      <c r="E819" s="427"/>
      <c r="F819" s="428"/>
      <c r="G819" s="428"/>
      <c r="H819" s="428"/>
      <c r="I819" s="429"/>
      <c r="J819" s="73" t="s">
        <v>197</v>
      </c>
      <c r="K819" s="405"/>
      <c r="L819" s="406"/>
      <c r="M819" s="414" t="s">
        <v>212</v>
      </c>
      <c r="N819" s="415"/>
      <c r="O819" s="405"/>
      <c r="P819" s="406"/>
      <c r="Q819" s="63"/>
      <c r="R819" s="124" t="str">
        <f>IF(NOT(N838=24),"",IF(OR(COUNTBLANK(E817:E817)=1,COUNTBLANK(L817:L817)=1),"O","P"))</f>
        <v/>
      </c>
      <c r="S819" s="108" t="str">
        <f>IF(NOT(N838=24),"","Candidate Name")</f>
        <v/>
      </c>
      <c r="T819" s="64"/>
    </row>
    <row r="820" spans="1:20" ht="14.25" x14ac:dyDescent="0.2">
      <c r="A820" s="83"/>
      <c r="B820" s="410" t="s">
        <v>198</v>
      </c>
      <c r="C820" s="420"/>
      <c r="D820" s="411"/>
      <c r="E820" s="454"/>
      <c r="F820" s="455"/>
      <c r="G820" s="455"/>
      <c r="H820" s="456"/>
      <c r="I820" s="74" t="s">
        <v>199</v>
      </c>
      <c r="J820" s="427"/>
      <c r="K820" s="428"/>
      <c r="L820" s="428"/>
      <c r="M820" s="428"/>
      <c r="N820" s="428"/>
      <c r="O820" s="428"/>
      <c r="P820" s="429"/>
      <c r="Q820" s="63"/>
      <c r="R820" s="124" t="str">
        <f>IF(NOT(N838=24),"",IF(COUNTBLANK(E816:E816)=1,"O","P"))</f>
        <v/>
      </c>
      <c r="S820" s="108" t="str">
        <f>IF(NOT(N838=24),"","Candidate ID")</f>
        <v/>
      </c>
      <c r="T820" s="64"/>
    </row>
    <row r="821" spans="1:20" ht="14.25" x14ac:dyDescent="0.2">
      <c r="A821" s="83"/>
      <c r="B821" s="410" t="s">
        <v>227</v>
      </c>
      <c r="C821" s="420"/>
      <c r="D821" s="411"/>
      <c r="E821" s="75" t="s">
        <v>218</v>
      </c>
      <c r="F821" s="405"/>
      <c r="G821" s="448"/>
      <c r="H821" s="75" t="s">
        <v>138</v>
      </c>
      <c r="I821" s="449"/>
      <c r="J821" s="450"/>
      <c r="K821" s="76" t="s">
        <v>139</v>
      </c>
      <c r="L821" s="451"/>
      <c r="M821" s="452"/>
      <c r="N821" s="76" t="s">
        <v>228</v>
      </c>
      <c r="O821" s="453" t="str">
        <f ca="1">IF(OR(ISBLANK(L821),ISBLANK(I821),ISBLANK(F821),COUNTBLANK(J816:J816)=1),"",IF(DATEDIF(DATE(L821,VLOOKUP(I821,data!$T$2:$U$13,2,FALSE),F821),IF(AND(TODAY()&lt;data!$AJ$12,TODAY()&gt;data!$AI$12),data!$AI$3,data!$AJ$3),"Y")&gt;=data!$AC$26,YEAR(TODAY())-L821,data!$AD$3))</f>
        <v/>
      </c>
      <c r="P821" s="413"/>
      <c r="Q821" s="63"/>
      <c r="R821" s="124" t="str">
        <f>IF(NOT(N838=24),"",IF(OR(ISBLANK(E818),ISBLANK(L818),ISBLANK(K819),ISBLANK(O819)),"O","P"))</f>
        <v/>
      </c>
      <c r="S821" s="108" t="str">
        <f>IF(NOT(N838=24),"","Address")</f>
        <v/>
      </c>
      <c r="T821" s="64"/>
    </row>
    <row r="822" spans="1:20" ht="15" thickBot="1" x14ac:dyDescent="0.25">
      <c r="A822" s="83"/>
      <c r="B822" s="410" t="s">
        <v>214</v>
      </c>
      <c r="C822" s="411"/>
      <c r="D822" s="412" t="str">
        <f>IF(NOT($N838=24),"",IF(ISERROR(LOOKUP(24,'Teacher Summary Sheet'!$M$19:$M$181)),"",IF(VLOOKUP(24,'Teacher Summary Sheet'!$M$19:$R$181,5)=0,"",VLOOKUP(24,'Teacher Summary Sheet'!$M$19:$R$181,5))))</f>
        <v/>
      </c>
      <c r="E822" s="413"/>
      <c r="F822" s="414" t="s">
        <v>319</v>
      </c>
      <c r="G822" s="415"/>
      <c r="H822" s="416"/>
      <c r="I822" s="417"/>
      <c r="J822" s="418"/>
      <c r="K822" s="414" t="s">
        <v>320</v>
      </c>
      <c r="L822" s="419"/>
      <c r="M822" s="419"/>
      <c r="N822" s="415"/>
      <c r="O822" s="405" t="s">
        <v>268</v>
      </c>
      <c r="P822" s="406"/>
      <c r="Q822" s="63"/>
      <c r="R822" s="124" t="str">
        <f>IF(NOT(N838=24),"",IF(OR(ISBLANK(F821),ISBLANK(I821),ISBLANK(L821)),"O","P"))</f>
        <v/>
      </c>
      <c r="S822" s="108" t="str">
        <f>IF(NOT(N838=24),"","Date of Birth")</f>
        <v/>
      </c>
      <c r="T822" s="64"/>
    </row>
    <row r="823" spans="1:20" ht="14.25" x14ac:dyDescent="0.2">
      <c r="A823" s="83"/>
      <c r="B823" s="522" t="s">
        <v>297</v>
      </c>
      <c r="C823" s="463"/>
      <c r="D823" s="463"/>
      <c r="E823" s="463"/>
      <c r="F823" s="463"/>
      <c r="G823" s="463"/>
      <c r="H823" s="463"/>
      <c r="I823" s="463"/>
      <c r="J823" s="463"/>
      <c r="K823" s="463"/>
      <c r="L823" s="463"/>
      <c r="M823" s="463"/>
      <c r="N823" s="463"/>
      <c r="O823" s="463"/>
      <c r="P823" s="464"/>
      <c r="Q823" s="63"/>
      <c r="R823" s="124" t="str">
        <f>IF(NOT(N838=24),"",IF(COUNTBLANK(J816:J816)=1,"O","P"))</f>
        <v/>
      </c>
      <c r="S823" s="112" t="str">
        <f>IF(NOT(N838=24),"","Exam Level")</f>
        <v/>
      </c>
      <c r="T823" s="64"/>
    </row>
    <row r="824" spans="1:20" ht="14.25" x14ac:dyDescent="0.2">
      <c r="A824" s="83"/>
      <c r="B824" s="465"/>
      <c r="C824" s="466"/>
      <c r="D824" s="466"/>
      <c r="E824" s="466"/>
      <c r="F824" s="466"/>
      <c r="G824" s="466"/>
      <c r="H824" s="466"/>
      <c r="I824" s="466"/>
      <c r="J824" s="466"/>
      <c r="K824" s="466"/>
      <c r="L824" s="466"/>
      <c r="M824" s="466"/>
      <c r="N824" s="466"/>
      <c r="O824" s="466"/>
      <c r="P824" s="467"/>
      <c r="Q824" s="63"/>
      <c r="R824" s="124" t="str">
        <f>IF(NOT(N838=24),"",IF(COUNTBLANK(D822:D822)=1,"O","P"))</f>
        <v/>
      </c>
      <c r="S824" s="109" t="str">
        <f>IF(NOT(N838=24),"","Gender")</f>
        <v/>
      </c>
      <c r="T824" s="64"/>
    </row>
    <row r="825" spans="1:20" ht="14.25" x14ac:dyDescent="0.2">
      <c r="A825" s="83"/>
      <c r="B825" s="432" t="s">
        <v>298</v>
      </c>
      <c r="C825" s="433"/>
      <c r="D825" s="434"/>
      <c r="E825" s="405"/>
      <c r="F825" s="406"/>
      <c r="G825" s="432" t="s">
        <v>299</v>
      </c>
      <c r="H825" s="433"/>
      <c r="I825" s="434"/>
      <c r="J825" s="405"/>
      <c r="K825" s="448"/>
      <c r="L825" s="406"/>
      <c r="M825" s="414" t="s">
        <v>300</v>
      </c>
      <c r="N825" s="415"/>
      <c r="O825" s="457"/>
      <c r="P825" s="458"/>
      <c r="Q825" s="63"/>
      <c r="R825" s="124" t="str">
        <f>IF(NOT(N838=24),"",IF(ISBLANK(H822),"O","P"))</f>
        <v/>
      </c>
      <c r="S825" s="109" t="str">
        <f>IF(NOT(N838=24),"","Height")</f>
        <v/>
      </c>
      <c r="T825" s="64"/>
    </row>
    <row r="826" spans="1:20" x14ac:dyDescent="0.2">
      <c r="A826" s="83"/>
      <c r="B826" s="77" t="s">
        <v>153</v>
      </c>
      <c r="C826" s="405"/>
      <c r="D826" s="406"/>
      <c r="E826" s="414" t="s">
        <v>301</v>
      </c>
      <c r="F826" s="415"/>
      <c r="G826" s="459"/>
      <c r="H826" s="460"/>
      <c r="I826" s="461"/>
      <c r="J826" s="414" t="s">
        <v>302</v>
      </c>
      <c r="K826" s="415"/>
      <c r="L826" s="454"/>
      <c r="M826" s="455"/>
      <c r="N826" s="455"/>
      <c r="O826" s="455"/>
      <c r="P826" s="456"/>
      <c r="Q826" s="63"/>
      <c r="R826" s="64"/>
      <c r="S826" s="64"/>
      <c r="T826" s="64"/>
    </row>
    <row r="827" spans="1:20" x14ac:dyDescent="0.2">
      <c r="A827" s="83"/>
      <c r="B827" s="410" t="s">
        <v>116</v>
      </c>
      <c r="C827" s="420"/>
      <c r="D827" s="420"/>
      <c r="E827" s="420"/>
      <c r="F827" s="420"/>
      <c r="G827" s="420"/>
      <c r="H827" s="420"/>
      <c r="I827" s="420"/>
      <c r="J827" s="420"/>
      <c r="K827" s="420"/>
      <c r="L827" s="420"/>
      <c r="M827" s="420"/>
      <c r="N827" s="420"/>
      <c r="O827" s="420"/>
      <c r="P827" s="411"/>
      <c r="Q827" s="63"/>
      <c r="R827" s="64"/>
      <c r="S827" s="64"/>
      <c r="T827" s="64"/>
    </row>
    <row r="828" spans="1:20" x14ac:dyDescent="0.2">
      <c r="A828" s="83"/>
      <c r="B828" s="410" t="s">
        <v>298</v>
      </c>
      <c r="C828" s="420"/>
      <c r="D828" s="411"/>
      <c r="E828" s="405"/>
      <c r="F828" s="406"/>
      <c r="G828" s="410" t="s">
        <v>299</v>
      </c>
      <c r="H828" s="420"/>
      <c r="I828" s="411"/>
      <c r="J828" s="454"/>
      <c r="K828" s="455"/>
      <c r="L828" s="456"/>
      <c r="M828" s="414" t="s">
        <v>300</v>
      </c>
      <c r="N828" s="415"/>
      <c r="O828" s="457"/>
      <c r="P828" s="458"/>
      <c r="Q828" s="63"/>
      <c r="R828" s="64"/>
    </row>
    <row r="829" spans="1:20" ht="13.5" thickBot="1" x14ac:dyDescent="0.25">
      <c r="A829" s="83"/>
      <c r="B829" s="78" t="s">
        <v>153</v>
      </c>
      <c r="C829" s="492"/>
      <c r="D829" s="493"/>
      <c r="E829" s="494" t="s">
        <v>301</v>
      </c>
      <c r="F829" s="495"/>
      <c r="G829" s="496"/>
      <c r="H829" s="497"/>
      <c r="I829" s="498"/>
      <c r="J829" s="414" t="s">
        <v>302</v>
      </c>
      <c r="K829" s="415"/>
      <c r="L829" s="454"/>
      <c r="M829" s="455"/>
      <c r="N829" s="455"/>
      <c r="O829" s="455"/>
      <c r="P829" s="456"/>
      <c r="Q829" s="63"/>
      <c r="R829" s="64"/>
    </row>
    <row r="830" spans="1:20" x14ac:dyDescent="0.2">
      <c r="A830" s="83"/>
      <c r="B830" s="499" t="s">
        <v>126</v>
      </c>
      <c r="C830" s="500"/>
      <c r="D830" s="500"/>
      <c r="E830" s="500"/>
      <c r="F830" s="500"/>
      <c r="G830" s="500"/>
      <c r="H830" s="500"/>
      <c r="I830" s="501"/>
      <c r="J830" s="505"/>
      <c r="K830" s="506"/>
      <c r="L830" s="506"/>
      <c r="M830" s="506"/>
      <c r="N830" s="506"/>
      <c r="O830" s="506"/>
      <c r="P830" s="507"/>
      <c r="Q830" s="63"/>
      <c r="R830" s="64"/>
    </row>
    <row r="831" spans="1:20" x14ac:dyDescent="0.2">
      <c r="A831" s="83"/>
      <c r="B831" s="502"/>
      <c r="C831" s="503"/>
      <c r="D831" s="503"/>
      <c r="E831" s="503"/>
      <c r="F831" s="503"/>
      <c r="G831" s="503"/>
      <c r="H831" s="503"/>
      <c r="I831" s="504"/>
      <c r="J831" s="508"/>
      <c r="K831" s="509"/>
      <c r="L831" s="509"/>
      <c r="M831" s="509"/>
      <c r="N831" s="509"/>
      <c r="O831" s="509"/>
      <c r="P831" s="510"/>
      <c r="Q831" s="63"/>
      <c r="R831" s="64"/>
    </row>
    <row r="832" spans="1:20" x14ac:dyDescent="0.2">
      <c r="A832" s="83"/>
      <c r="B832" s="514" t="s">
        <v>127</v>
      </c>
      <c r="C832" s="515"/>
      <c r="D832" s="515"/>
      <c r="E832" s="515"/>
      <c r="F832" s="515"/>
      <c r="G832" s="515"/>
      <c r="H832" s="515"/>
      <c r="I832" s="516"/>
      <c r="J832" s="508"/>
      <c r="K832" s="509"/>
      <c r="L832" s="509"/>
      <c r="M832" s="509"/>
      <c r="N832" s="509"/>
      <c r="O832" s="509"/>
      <c r="P832" s="510"/>
      <c r="Q832" s="63"/>
      <c r="R832" s="64"/>
    </row>
    <row r="833" spans="1:18" ht="13.5" thickBot="1" x14ac:dyDescent="0.25">
      <c r="A833" s="83"/>
      <c r="B833" s="517"/>
      <c r="C833" s="518"/>
      <c r="D833" s="518"/>
      <c r="E833" s="518"/>
      <c r="F833" s="518"/>
      <c r="G833" s="518"/>
      <c r="H833" s="518"/>
      <c r="I833" s="519"/>
      <c r="J833" s="511"/>
      <c r="K833" s="512"/>
      <c r="L833" s="512"/>
      <c r="M833" s="512"/>
      <c r="N833" s="512"/>
      <c r="O833" s="512"/>
      <c r="P833" s="513"/>
      <c r="Q833" s="63"/>
      <c r="R833" s="64"/>
    </row>
    <row r="834" spans="1:18" x14ac:dyDescent="0.2">
      <c r="A834" s="83"/>
      <c r="B834" s="480" t="s">
        <v>10</v>
      </c>
      <c r="C834" s="481"/>
      <c r="D834" s="481"/>
      <c r="E834" s="481"/>
      <c r="F834" s="481"/>
      <c r="G834" s="481"/>
      <c r="H834" s="481"/>
      <c r="I834" s="482"/>
      <c r="J834" s="79">
        <v>1</v>
      </c>
      <c r="K834" s="483"/>
      <c r="L834" s="484"/>
      <c r="M834" s="484"/>
      <c r="N834" s="484"/>
      <c r="O834" s="484"/>
      <c r="P834" s="485"/>
      <c r="Q834" s="63"/>
      <c r="R834" s="64"/>
    </row>
    <row r="835" spans="1:18" x14ac:dyDescent="0.2">
      <c r="A835" s="83"/>
      <c r="B835" s="486" t="s">
        <v>276</v>
      </c>
      <c r="C835" s="487"/>
      <c r="D835" s="487"/>
      <c r="E835" s="487"/>
      <c r="F835" s="487"/>
      <c r="G835" s="487"/>
      <c r="H835" s="487"/>
      <c r="I835" s="488"/>
      <c r="J835" s="80">
        <v>2</v>
      </c>
      <c r="K835" s="454"/>
      <c r="L835" s="455"/>
      <c r="M835" s="455"/>
      <c r="N835" s="455"/>
      <c r="O835" s="455"/>
      <c r="P835" s="456"/>
      <c r="Q835" s="63"/>
      <c r="R835" s="64"/>
    </row>
    <row r="836" spans="1:18" x14ac:dyDescent="0.2">
      <c r="A836" s="83"/>
      <c r="B836" s="489" t="s">
        <v>234</v>
      </c>
      <c r="C836" s="490"/>
      <c r="D836" s="490"/>
      <c r="E836" s="490"/>
      <c r="F836" s="490"/>
      <c r="G836" s="490"/>
      <c r="H836" s="490"/>
      <c r="I836" s="491"/>
      <c r="J836" s="80">
        <v>3</v>
      </c>
      <c r="K836" s="454"/>
      <c r="L836" s="455"/>
      <c r="M836" s="455"/>
      <c r="N836" s="455"/>
      <c r="O836" s="455"/>
      <c r="P836" s="456"/>
      <c r="Q836" s="63"/>
      <c r="R836" s="64"/>
    </row>
    <row r="837" spans="1:18" x14ac:dyDescent="0.2">
      <c r="A837" s="83"/>
      <c r="B837" s="468"/>
      <c r="C837" s="468"/>
      <c r="D837" s="468"/>
      <c r="E837" s="468"/>
      <c r="F837" s="468"/>
      <c r="G837" s="468"/>
      <c r="H837" s="468"/>
      <c r="I837" s="468"/>
      <c r="J837" s="468"/>
      <c r="K837" s="468"/>
      <c r="L837" s="468"/>
      <c r="M837" s="468"/>
      <c r="N837" s="468"/>
      <c r="O837" s="468"/>
      <c r="P837" s="468"/>
      <c r="Q837" s="63"/>
      <c r="R837" s="64"/>
    </row>
    <row r="838" spans="1:18" ht="12" customHeight="1" x14ac:dyDescent="0.2">
      <c r="A838" s="83"/>
      <c r="B838" s="469" t="s">
        <v>84</v>
      </c>
      <c r="C838" s="471" t="str">
        <f>IF(CODE(B838)=89,"This candidate would like to receive Special","This candidate would not like to receive Special")</f>
        <v>This candidate would like to receive Special</v>
      </c>
      <c r="D838" s="472"/>
      <c r="E838" s="472"/>
      <c r="F838" s="472"/>
      <c r="G838" s="472"/>
      <c r="H838" s="472"/>
      <c r="I838" s="473"/>
      <c r="J838" s="81"/>
      <c r="K838" s="474" t="s">
        <v>235</v>
      </c>
      <c r="L838" s="474"/>
      <c r="M838" s="475"/>
      <c r="N838" s="51" t="str">
        <f>IF($P$33&gt;=24,24,"")</f>
        <v/>
      </c>
      <c r="O838" s="62" t="s">
        <v>52</v>
      </c>
      <c r="P838" s="51" t="str">
        <f>IF($P$33&gt;=24,$P$33,"")</f>
        <v/>
      </c>
      <c r="Q838" s="63"/>
      <c r="R838" s="64"/>
    </row>
    <row r="839" spans="1:18" ht="12" customHeight="1" x14ac:dyDescent="0.2">
      <c r="A839" s="83"/>
      <c r="B839" s="470"/>
      <c r="C839" s="476" t="str">
        <f>IF(CODE(B838)=89,"Announcements and Bulletins from RAD Canada","Announcements and Bulletins from RAD Canada")</f>
        <v>Announcements and Bulletins from RAD Canada</v>
      </c>
      <c r="D839" s="477"/>
      <c r="E839" s="477"/>
      <c r="F839" s="477"/>
      <c r="G839" s="477"/>
      <c r="H839" s="477"/>
      <c r="I839" s="478"/>
      <c r="J839" s="479"/>
      <c r="K839" s="400"/>
      <c r="L839" s="400"/>
      <c r="M839" s="400"/>
      <c r="N839" s="400"/>
      <c r="O839" s="400"/>
      <c r="P839" s="400"/>
      <c r="Q839" s="63"/>
      <c r="R839" s="64"/>
    </row>
    <row r="840" spans="1:18" x14ac:dyDescent="0.2">
      <c r="A840" s="83"/>
      <c r="B840" s="400"/>
      <c r="C840" s="400"/>
      <c r="D840" s="400"/>
      <c r="E840" s="400"/>
      <c r="F840" s="400"/>
      <c r="G840" s="400"/>
      <c r="H840" s="400"/>
      <c r="I840" s="400"/>
      <c r="J840" s="400"/>
      <c r="K840" s="400"/>
      <c r="L840" s="400"/>
      <c r="M840" s="400"/>
      <c r="N840" s="400"/>
      <c r="O840" s="400"/>
      <c r="P840" s="400"/>
      <c r="Q840" s="63"/>
      <c r="R840" s="64"/>
    </row>
    <row r="841" spans="1:18" x14ac:dyDescent="0.2">
      <c r="A841" s="83"/>
      <c r="B841" s="62"/>
      <c r="C841" s="62"/>
      <c r="D841" s="62"/>
      <c r="E841" s="62"/>
      <c r="F841" s="62"/>
      <c r="G841" s="62"/>
      <c r="H841" s="62"/>
      <c r="I841" s="62"/>
      <c r="J841" s="62"/>
      <c r="K841" s="62"/>
      <c r="L841" s="62"/>
      <c r="M841" s="62"/>
      <c r="N841" s="62"/>
      <c r="O841" s="62"/>
      <c r="P841" s="62"/>
      <c r="Q841" s="63"/>
      <c r="R841" s="64"/>
    </row>
    <row r="842" spans="1:18" x14ac:dyDescent="0.2">
      <c r="A842" s="83"/>
      <c r="B842" s="401" t="s">
        <v>281</v>
      </c>
      <c r="C842" s="402"/>
      <c r="D842" s="402"/>
      <c r="E842" s="402"/>
      <c r="F842" s="402"/>
      <c r="G842" s="402"/>
      <c r="H842" s="62"/>
      <c r="I842" s="62"/>
      <c r="J842" s="62"/>
      <c r="K842" s="62"/>
      <c r="L842" s="62"/>
      <c r="M842" s="62"/>
      <c r="N842" s="62"/>
      <c r="O842" s="62"/>
      <c r="P842" s="62"/>
      <c r="Q842" s="63"/>
      <c r="R842" s="64"/>
    </row>
    <row r="843" spans="1:18" ht="15.75" x14ac:dyDescent="0.25">
      <c r="A843" s="83"/>
      <c r="B843" s="402"/>
      <c r="C843" s="402"/>
      <c r="D843" s="402"/>
      <c r="E843" s="402"/>
      <c r="F843" s="402"/>
      <c r="G843" s="402"/>
      <c r="H843" s="82"/>
      <c r="I843" s="403"/>
      <c r="J843" s="403"/>
      <c r="K843" s="403"/>
      <c r="L843" s="403"/>
      <c r="M843" s="403"/>
      <c r="N843" s="403"/>
      <c r="O843" s="403"/>
      <c r="P843" s="403"/>
      <c r="Q843" s="63"/>
      <c r="R843" s="64"/>
    </row>
    <row r="844" spans="1:18" x14ac:dyDescent="0.2">
      <c r="A844" s="83"/>
      <c r="B844" s="400"/>
      <c r="C844" s="400"/>
      <c r="D844" s="400"/>
      <c r="E844" s="400"/>
      <c r="F844" s="400"/>
      <c r="G844" s="400"/>
      <c r="H844" s="400"/>
      <c r="I844" s="400"/>
      <c r="J844" s="400"/>
      <c r="K844" s="400"/>
      <c r="L844" s="400"/>
      <c r="M844" s="403"/>
      <c r="N844" s="403"/>
      <c r="O844" s="403"/>
      <c r="P844" s="403"/>
      <c r="Q844" s="63"/>
      <c r="R844" s="64"/>
    </row>
    <row r="845" spans="1:18" x14ac:dyDescent="0.2">
      <c r="A845" s="83"/>
      <c r="B845" s="404" t="s">
        <v>260</v>
      </c>
      <c r="C845" s="404"/>
      <c r="D845" s="404"/>
      <c r="E845" s="404"/>
      <c r="F845" s="400"/>
      <c r="G845" s="400"/>
      <c r="H845" s="400"/>
      <c r="I845" s="400"/>
      <c r="J845" s="400"/>
      <c r="K845" s="400"/>
      <c r="L845" s="400"/>
      <c r="M845" s="403"/>
      <c r="N845" s="403"/>
      <c r="O845" s="403"/>
      <c r="P845" s="403"/>
      <c r="Q845" s="63"/>
      <c r="R845" s="64"/>
    </row>
    <row r="846" spans="1:18" x14ac:dyDescent="0.2">
      <c r="A846" s="83"/>
      <c r="B846" s="69"/>
      <c r="C846" s="324" t="s">
        <v>75</v>
      </c>
      <c r="D846" s="408"/>
      <c r="E846" s="409"/>
      <c r="F846" s="400"/>
      <c r="G846" s="400"/>
      <c r="H846" s="400"/>
      <c r="I846" s="400"/>
      <c r="J846" s="400"/>
      <c r="K846" s="400"/>
      <c r="L846" s="400"/>
      <c r="M846" s="70"/>
      <c r="N846" s="70"/>
      <c r="O846" s="70"/>
      <c r="P846" s="70"/>
      <c r="Q846" s="63"/>
      <c r="R846" s="64"/>
    </row>
    <row r="847" spans="1:18" x14ac:dyDescent="0.2">
      <c r="A847" s="83"/>
      <c r="B847" s="71"/>
      <c r="C847" s="324" t="s">
        <v>128</v>
      </c>
      <c r="D847" s="408"/>
      <c r="E847" s="409"/>
      <c r="F847" s="400"/>
      <c r="G847" s="400"/>
      <c r="H847" s="400"/>
      <c r="I847" s="400"/>
      <c r="J847" s="400"/>
      <c r="K847" s="400"/>
      <c r="L847" s="400"/>
      <c r="M847" s="407" t="s">
        <v>256</v>
      </c>
      <c r="N847" s="407"/>
      <c r="O847" s="407"/>
      <c r="P847" s="407"/>
      <c r="Q847" s="63"/>
      <c r="R847" s="64"/>
    </row>
    <row r="848" spans="1:18" x14ac:dyDescent="0.2">
      <c r="A848" s="83"/>
      <c r="B848" s="56"/>
      <c r="C848" s="324" t="s">
        <v>193</v>
      </c>
      <c r="D848" s="408"/>
      <c r="E848" s="409"/>
      <c r="F848" s="400"/>
      <c r="G848" s="400"/>
      <c r="H848" s="400"/>
      <c r="I848" s="400"/>
      <c r="J848" s="400"/>
      <c r="K848" s="400"/>
      <c r="L848" s="400"/>
      <c r="M848" s="407"/>
      <c r="N848" s="407"/>
      <c r="O848" s="407"/>
      <c r="P848" s="407"/>
      <c r="Q848" s="63"/>
      <c r="R848" s="64"/>
    </row>
    <row r="849" spans="1:20" x14ac:dyDescent="0.2">
      <c r="A849" s="83"/>
      <c r="B849" s="520"/>
      <c r="C849" s="520"/>
      <c r="D849" s="520"/>
      <c r="E849" s="520"/>
      <c r="F849" s="520"/>
      <c r="G849" s="520"/>
      <c r="H849" s="520"/>
      <c r="I849" s="520"/>
      <c r="J849" s="520"/>
      <c r="K849" s="520"/>
      <c r="L849" s="520"/>
      <c r="M849" s="520"/>
      <c r="N849" s="520"/>
      <c r="O849" s="520"/>
      <c r="P849" s="520"/>
      <c r="Q849" s="63"/>
      <c r="R849" s="64"/>
    </row>
    <row r="850" spans="1:20" x14ac:dyDescent="0.2">
      <c r="A850" s="83"/>
      <c r="B850" s="432" t="s">
        <v>117</v>
      </c>
      <c r="C850" s="433"/>
      <c r="D850" s="434"/>
      <c r="E850" s="442" t="str">
        <f>IF(AND($P$33&gt;=25,NOT(ISBLANK($E$10))),$E$10,"")</f>
        <v/>
      </c>
      <c r="F850" s="443"/>
      <c r="G850" s="444"/>
      <c r="H850" s="414" t="s">
        <v>124</v>
      </c>
      <c r="I850" s="415"/>
      <c r="J850" s="442" t="str">
        <f>IF(AND($P$33&gt;=25,NOT(ISBLANK($J$10))),$J$10,"")</f>
        <v/>
      </c>
      <c r="K850" s="443"/>
      <c r="L850" s="444"/>
      <c r="M850" s="414" t="s">
        <v>118</v>
      </c>
      <c r="N850" s="415"/>
      <c r="O850" s="430" t="str">
        <f>IF(AND($P$33&gt;=25,NOT(ISBLANK($O$10))),$O$10,"")</f>
        <v/>
      </c>
      <c r="P850" s="521"/>
      <c r="Q850" s="63"/>
      <c r="R850" s="545" t="s">
        <v>307</v>
      </c>
      <c r="S850" s="546"/>
      <c r="T850" s="547"/>
    </row>
    <row r="851" spans="1:20" x14ac:dyDescent="0.2">
      <c r="A851" s="83"/>
      <c r="B851" s="432" t="s">
        <v>240</v>
      </c>
      <c r="C851" s="433"/>
      <c r="D851" s="434"/>
      <c r="E851" s="435" t="str">
        <f>IF(NOT($N873=25),"",IF(ISERROR(LOOKUP(25,'Teacher Summary Sheet'!$M$19:$M$181)),"",IF(VLOOKUP(25,'Teacher Summary Sheet'!$M$19:$R$181,2)=0,"",VLOOKUP(25,'Teacher Summary Sheet'!$M$19:$R$181,2))))</f>
        <v/>
      </c>
      <c r="F851" s="436"/>
      <c r="G851" s="437"/>
      <c r="H851" s="438" t="s">
        <v>119</v>
      </c>
      <c r="I851" s="439"/>
      <c r="J851" s="102" t="str">
        <f>IF(NOT($N873=25),"",IF(ISERROR(LOOKUP(25,'Teacher Summary Sheet'!$M$19:$M$181)),"",IF(VLOOKUP(25,'Teacher Summary Sheet'!$M$19:$R$181,6)=0,"",VLOOKUP(25,'Teacher Summary Sheet'!$M$19:$R$181,6))))</f>
        <v/>
      </c>
      <c r="K851" s="414" t="s">
        <v>179</v>
      </c>
      <c r="L851" s="419"/>
      <c r="M851" s="415"/>
      <c r="N851" s="412" t="str">
        <f>IF(NOT($N873=25),"",IF(ISERROR(LOOKUP(25,'Teacher Summary Sheet'!$M$19:$M$181)),"",IF('Teacher Summary Sheet'!$F$31=0,"",'Teacher Summary Sheet'!$F$31)))</f>
        <v/>
      </c>
      <c r="O851" s="440"/>
      <c r="P851" s="413"/>
      <c r="Q851" s="63"/>
      <c r="R851" s="548"/>
      <c r="S851" s="549"/>
      <c r="T851" s="550"/>
    </row>
    <row r="852" spans="1:20" ht="14.25" x14ac:dyDescent="0.2">
      <c r="A852" s="83"/>
      <c r="B852" s="410" t="s">
        <v>241</v>
      </c>
      <c r="C852" s="420"/>
      <c r="D852" s="411"/>
      <c r="E852" s="421" t="str">
        <f>IF(NOT($N873=25),"",IF(ISERROR(LOOKUP(25,'Teacher Summary Sheet'!$M$19:$M$181)),"",IF(VLOOKUP(25,'Teacher Summary Sheet'!$M$19:$R$181,3)=0,"",VLOOKUP(25,'Teacher Summary Sheet'!$M$19:$R$181,3))))</f>
        <v/>
      </c>
      <c r="F852" s="422"/>
      <c r="G852" s="422"/>
      <c r="H852" s="422"/>
      <c r="I852" s="423"/>
      <c r="J852" s="414" t="s">
        <v>124</v>
      </c>
      <c r="K852" s="415"/>
      <c r="L852" s="424" t="str">
        <f>IF(NOT($N873=25),"",IF(ISERROR(LOOKUP(25,'Teacher Summary Sheet'!$M$19:$M$181)),"",IF(VLOOKUP(25,'Teacher Summary Sheet'!$M$19:$R$181,4)=0,"",VLOOKUP(25,'Teacher Summary Sheet'!$M$19:$R$181,4))))</f>
        <v/>
      </c>
      <c r="M852" s="425"/>
      <c r="N852" s="425"/>
      <c r="O852" s="425"/>
      <c r="P852" s="426"/>
      <c r="Q852" s="63"/>
      <c r="R852" s="125" t="str">
        <f>IF(NOT(N873=25),"",IF(COUNTIF(R854:R860,"P")=7,"P","O"))</f>
        <v/>
      </c>
      <c r="S852" s="110" t="str">
        <f>IF(NOT(N873=25),"",IF(COUNTIF(R854:R860,"P")=7,"Complete","Incomplete"))</f>
        <v/>
      </c>
      <c r="T852" s="111"/>
    </row>
    <row r="853" spans="1:20" x14ac:dyDescent="0.2">
      <c r="A853" s="83"/>
      <c r="B853" s="410" t="s">
        <v>120</v>
      </c>
      <c r="C853" s="420"/>
      <c r="D853" s="411"/>
      <c r="E853" s="427"/>
      <c r="F853" s="428"/>
      <c r="G853" s="428"/>
      <c r="H853" s="428"/>
      <c r="I853" s="428"/>
      <c r="J853" s="429"/>
      <c r="K853" s="62" t="s">
        <v>121</v>
      </c>
      <c r="L853" s="427"/>
      <c r="M853" s="428"/>
      <c r="N853" s="428"/>
      <c r="O853" s="428"/>
      <c r="P853" s="429"/>
      <c r="Q853" s="63"/>
    </row>
    <row r="854" spans="1:20" ht="14.25" x14ac:dyDescent="0.2">
      <c r="A854" s="83"/>
      <c r="B854" s="410" t="s">
        <v>196</v>
      </c>
      <c r="C854" s="420"/>
      <c r="D854" s="411"/>
      <c r="E854" s="427"/>
      <c r="F854" s="428"/>
      <c r="G854" s="428"/>
      <c r="H854" s="428"/>
      <c r="I854" s="429"/>
      <c r="J854" s="73" t="s">
        <v>197</v>
      </c>
      <c r="K854" s="405"/>
      <c r="L854" s="406"/>
      <c r="M854" s="414" t="s">
        <v>212</v>
      </c>
      <c r="N854" s="415"/>
      <c r="O854" s="405"/>
      <c r="P854" s="406"/>
      <c r="Q854" s="63"/>
      <c r="R854" s="124" t="str">
        <f>IF(NOT(N873=25),"",IF(OR(COUNTBLANK(E852:E852)=1,COUNTBLANK(L852:L852)=1),"O","P"))</f>
        <v/>
      </c>
      <c r="S854" s="108" t="str">
        <f>IF(NOT(N873=25),"","Candidate Name")</f>
        <v/>
      </c>
      <c r="T854" s="64"/>
    </row>
    <row r="855" spans="1:20" ht="14.25" x14ac:dyDescent="0.2">
      <c r="A855" s="83"/>
      <c r="B855" s="410" t="s">
        <v>198</v>
      </c>
      <c r="C855" s="420"/>
      <c r="D855" s="411"/>
      <c r="E855" s="454"/>
      <c r="F855" s="455"/>
      <c r="G855" s="455"/>
      <c r="H855" s="456"/>
      <c r="I855" s="74" t="s">
        <v>199</v>
      </c>
      <c r="J855" s="427"/>
      <c r="K855" s="428"/>
      <c r="L855" s="428"/>
      <c r="M855" s="428"/>
      <c r="N855" s="428"/>
      <c r="O855" s="428"/>
      <c r="P855" s="429"/>
      <c r="Q855" s="63"/>
      <c r="R855" s="124" t="str">
        <f>IF(NOT(N873=25),"",IF(COUNTBLANK(E851:E851)=1,"O","P"))</f>
        <v/>
      </c>
      <c r="S855" s="108" t="str">
        <f>IF(NOT(N873=25),"","Candidate ID")</f>
        <v/>
      </c>
      <c r="T855" s="64"/>
    </row>
    <row r="856" spans="1:20" ht="14.25" x14ac:dyDescent="0.2">
      <c r="A856" s="83"/>
      <c r="B856" s="410" t="s">
        <v>227</v>
      </c>
      <c r="C856" s="420"/>
      <c r="D856" s="411"/>
      <c r="E856" s="75" t="s">
        <v>218</v>
      </c>
      <c r="F856" s="405"/>
      <c r="G856" s="448"/>
      <c r="H856" s="75" t="s">
        <v>138</v>
      </c>
      <c r="I856" s="449"/>
      <c r="J856" s="450"/>
      <c r="K856" s="76" t="s">
        <v>139</v>
      </c>
      <c r="L856" s="451"/>
      <c r="M856" s="452"/>
      <c r="N856" s="76" t="s">
        <v>228</v>
      </c>
      <c r="O856" s="453" t="str">
        <f ca="1">IF(OR(ISBLANK(L856),ISBLANK(I856),ISBLANK(F856),COUNTBLANK(J851:J851)=1),"",IF(DATEDIF(DATE(L856,VLOOKUP(I856,data!$T$2:$U$13,2,FALSE),F856),IF(AND(TODAY()&lt;data!$AJ$12,TODAY()&gt;data!$AI$12),data!$AI$3,data!$AJ$3),"Y")&gt;=data!$AC$27,YEAR(TODAY())-L856,data!$AD$3))</f>
        <v/>
      </c>
      <c r="P856" s="413"/>
      <c r="Q856" s="63"/>
      <c r="R856" s="124" t="str">
        <f>IF(NOT(N873=25),"",IF(OR(ISBLANK(E853),ISBLANK(L853),ISBLANK(K854),ISBLANK(O854)),"O","P"))</f>
        <v/>
      </c>
      <c r="S856" s="108" t="str">
        <f>IF(NOT(N873=25),"","Address")</f>
        <v/>
      </c>
      <c r="T856" s="64"/>
    </row>
    <row r="857" spans="1:20" ht="15" thickBot="1" x14ac:dyDescent="0.25">
      <c r="A857" s="83"/>
      <c r="B857" s="410" t="s">
        <v>214</v>
      </c>
      <c r="C857" s="411"/>
      <c r="D857" s="412" t="str">
        <f>IF(NOT($N873=25),"",IF(ISERROR(LOOKUP(25,'Teacher Summary Sheet'!$M$19:$M$181)),"",IF(VLOOKUP(25,'Teacher Summary Sheet'!$M$19:$R$181,5)=0,"",VLOOKUP(25,'Teacher Summary Sheet'!$M$19:$R$181,5))))</f>
        <v/>
      </c>
      <c r="E857" s="413"/>
      <c r="F857" s="414" t="s">
        <v>319</v>
      </c>
      <c r="G857" s="415"/>
      <c r="H857" s="416"/>
      <c r="I857" s="417"/>
      <c r="J857" s="418"/>
      <c r="K857" s="414" t="s">
        <v>320</v>
      </c>
      <c r="L857" s="419"/>
      <c r="M857" s="419"/>
      <c r="N857" s="415"/>
      <c r="O857" s="405" t="s">
        <v>268</v>
      </c>
      <c r="P857" s="406"/>
      <c r="Q857" s="63"/>
      <c r="R857" s="124" t="str">
        <f>IF(NOT(N873=25),"",IF(OR(ISBLANK(F856),ISBLANK(I856),ISBLANK(L856)),"O","P"))</f>
        <v/>
      </c>
      <c r="S857" s="108" t="str">
        <f>IF(NOT(N873=25),"","Date of Birth")</f>
        <v/>
      </c>
      <c r="T857" s="64"/>
    </row>
    <row r="858" spans="1:20" ht="14.25" x14ac:dyDescent="0.2">
      <c r="A858" s="83"/>
      <c r="B858" s="522" t="s">
        <v>297</v>
      </c>
      <c r="C858" s="463"/>
      <c r="D858" s="463"/>
      <c r="E858" s="463"/>
      <c r="F858" s="463"/>
      <c r="G858" s="463"/>
      <c r="H858" s="463"/>
      <c r="I858" s="463"/>
      <c r="J858" s="463"/>
      <c r="K858" s="463"/>
      <c r="L858" s="463"/>
      <c r="M858" s="463"/>
      <c r="N858" s="463"/>
      <c r="O858" s="463"/>
      <c r="P858" s="464"/>
      <c r="Q858" s="63"/>
      <c r="R858" s="124" t="str">
        <f>IF(NOT(N873=25),"",IF(COUNTBLANK(J851:J851)=1,"O","P"))</f>
        <v/>
      </c>
      <c r="S858" s="112" t="str">
        <f>IF(NOT(N873=25),"","Exam Level")</f>
        <v/>
      </c>
      <c r="T858" s="64"/>
    </row>
    <row r="859" spans="1:20" ht="14.25" x14ac:dyDescent="0.2">
      <c r="A859" s="83"/>
      <c r="B859" s="465"/>
      <c r="C859" s="466"/>
      <c r="D859" s="466"/>
      <c r="E859" s="466"/>
      <c r="F859" s="466"/>
      <c r="G859" s="466"/>
      <c r="H859" s="466"/>
      <c r="I859" s="466"/>
      <c r="J859" s="466"/>
      <c r="K859" s="466"/>
      <c r="L859" s="466"/>
      <c r="M859" s="466"/>
      <c r="N859" s="466"/>
      <c r="O859" s="466"/>
      <c r="P859" s="467"/>
      <c r="Q859" s="63"/>
      <c r="R859" s="124" t="str">
        <f>IF(NOT(N873=25),"",IF(COUNTBLANK(D857:D857)=1,"O","P"))</f>
        <v/>
      </c>
      <c r="S859" s="109" t="str">
        <f>IF(NOT(N873=25),"","Gender")</f>
        <v/>
      </c>
      <c r="T859" s="64"/>
    </row>
    <row r="860" spans="1:20" ht="14.25" x14ac:dyDescent="0.2">
      <c r="A860" s="83"/>
      <c r="B860" s="432" t="s">
        <v>298</v>
      </c>
      <c r="C860" s="433"/>
      <c r="D860" s="434"/>
      <c r="E860" s="405"/>
      <c r="F860" s="406"/>
      <c r="G860" s="432" t="s">
        <v>299</v>
      </c>
      <c r="H860" s="433"/>
      <c r="I860" s="434"/>
      <c r="J860" s="405"/>
      <c r="K860" s="448"/>
      <c r="L860" s="406"/>
      <c r="M860" s="414" t="s">
        <v>300</v>
      </c>
      <c r="N860" s="415"/>
      <c r="O860" s="457"/>
      <c r="P860" s="458"/>
      <c r="Q860" s="63"/>
      <c r="R860" s="124" t="str">
        <f>IF(NOT(N873=25),"",IF(ISBLANK(H857),"O","P"))</f>
        <v/>
      </c>
      <c r="S860" s="109" t="str">
        <f>IF(NOT(N873=25),"","Height")</f>
        <v/>
      </c>
      <c r="T860" s="64"/>
    </row>
    <row r="861" spans="1:20" x14ac:dyDescent="0.2">
      <c r="A861" s="83"/>
      <c r="B861" s="77" t="s">
        <v>153</v>
      </c>
      <c r="C861" s="405"/>
      <c r="D861" s="406"/>
      <c r="E861" s="414" t="s">
        <v>301</v>
      </c>
      <c r="F861" s="415"/>
      <c r="G861" s="459"/>
      <c r="H861" s="460"/>
      <c r="I861" s="461"/>
      <c r="J861" s="414" t="s">
        <v>302</v>
      </c>
      <c r="K861" s="415"/>
      <c r="L861" s="454"/>
      <c r="M861" s="455"/>
      <c r="N861" s="455"/>
      <c r="O861" s="455"/>
      <c r="P861" s="456"/>
      <c r="Q861" s="63"/>
      <c r="R861" s="64"/>
      <c r="S861" s="64"/>
      <c r="T861" s="64"/>
    </row>
    <row r="862" spans="1:20" x14ac:dyDescent="0.2">
      <c r="A862" s="83"/>
      <c r="B862" s="410" t="s">
        <v>116</v>
      </c>
      <c r="C862" s="420"/>
      <c r="D862" s="420"/>
      <c r="E862" s="420"/>
      <c r="F862" s="420"/>
      <c r="G862" s="420"/>
      <c r="H862" s="420"/>
      <c r="I862" s="420"/>
      <c r="J862" s="420"/>
      <c r="K862" s="420"/>
      <c r="L862" s="420"/>
      <c r="M862" s="420"/>
      <c r="N862" s="420"/>
      <c r="O862" s="420"/>
      <c r="P862" s="411"/>
      <c r="Q862" s="63"/>
      <c r="R862" s="64"/>
      <c r="S862" s="64"/>
      <c r="T862" s="64"/>
    </row>
    <row r="863" spans="1:20" x14ac:dyDescent="0.2">
      <c r="A863" s="83"/>
      <c r="B863" s="410" t="s">
        <v>298</v>
      </c>
      <c r="C863" s="420"/>
      <c r="D863" s="411"/>
      <c r="E863" s="405"/>
      <c r="F863" s="406"/>
      <c r="G863" s="410" t="s">
        <v>299</v>
      </c>
      <c r="H863" s="420"/>
      <c r="I863" s="411"/>
      <c r="J863" s="454"/>
      <c r="K863" s="455"/>
      <c r="L863" s="456"/>
      <c r="M863" s="414" t="s">
        <v>300</v>
      </c>
      <c r="N863" s="415"/>
      <c r="O863" s="457"/>
      <c r="P863" s="458"/>
      <c r="Q863" s="63"/>
      <c r="R863" s="64"/>
    </row>
    <row r="864" spans="1:20" ht="13.5" thickBot="1" x14ac:dyDescent="0.25">
      <c r="A864" s="83"/>
      <c r="B864" s="78" t="s">
        <v>153</v>
      </c>
      <c r="C864" s="492"/>
      <c r="D864" s="493"/>
      <c r="E864" s="494" t="s">
        <v>301</v>
      </c>
      <c r="F864" s="495"/>
      <c r="G864" s="496"/>
      <c r="H864" s="497"/>
      <c r="I864" s="498"/>
      <c r="J864" s="414" t="s">
        <v>302</v>
      </c>
      <c r="K864" s="415"/>
      <c r="L864" s="454"/>
      <c r="M864" s="455"/>
      <c r="N864" s="455"/>
      <c r="O864" s="455"/>
      <c r="P864" s="456"/>
      <c r="Q864" s="63"/>
      <c r="R864" s="64"/>
    </row>
    <row r="865" spans="1:18" x14ac:dyDescent="0.2">
      <c r="A865" s="83"/>
      <c r="B865" s="499" t="s">
        <v>126</v>
      </c>
      <c r="C865" s="500"/>
      <c r="D865" s="500"/>
      <c r="E865" s="500"/>
      <c r="F865" s="500"/>
      <c r="G865" s="500"/>
      <c r="H865" s="500"/>
      <c r="I865" s="501"/>
      <c r="J865" s="505"/>
      <c r="K865" s="506"/>
      <c r="L865" s="506"/>
      <c r="M865" s="506"/>
      <c r="N865" s="506"/>
      <c r="O865" s="506"/>
      <c r="P865" s="507"/>
      <c r="Q865" s="63"/>
      <c r="R865" s="64"/>
    </row>
    <row r="866" spans="1:18" x14ac:dyDescent="0.2">
      <c r="A866" s="83"/>
      <c r="B866" s="502"/>
      <c r="C866" s="503"/>
      <c r="D866" s="503"/>
      <c r="E866" s="503"/>
      <c r="F866" s="503"/>
      <c r="G866" s="503"/>
      <c r="H866" s="503"/>
      <c r="I866" s="504"/>
      <c r="J866" s="508"/>
      <c r="K866" s="509"/>
      <c r="L866" s="509"/>
      <c r="M866" s="509"/>
      <c r="N866" s="509"/>
      <c r="O866" s="509"/>
      <c r="P866" s="510"/>
      <c r="Q866" s="63"/>
      <c r="R866" s="64"/>
    </row>
    <row r="867" spans="1:18" x14ac:dyDescent="0.2">
      <c r="A867" s="83"/>
      <c r="B867" s="514" t="s">
        <v>127</v>
      </c>
      <c r="C867" s="515"/>
      <c r="D867" s="515"/>
      <c r="E867" s="515"/>
      <c r="F867" s="515"/>
      <c r="G867" s="515"/>
      <c r="H867" s="515"/>
      <c r="I867" s="516"/>
      <c r="J867" s="508"/>
      <c r="K867" s="509"/>
      <c r="L867" s="509"/>
      <c r="M867" s="509"/>
      <c r="N867" s="509"/>
      <c r="O867" s="509"/>
      <c r="P867" s="510"/>
      <c r="Q867" s="63"/>
      <c r="R867" s="64"/>
    </row>
    <row r="868" spans="1:18" ht="13.5" thickBot="1" x14ac:dyDescent="0.25">
      <c r="A868" s="83"/>
      <c r="B868" s="517"/>
      <c r="C868" s="518"/>
      <c r="D868" s="518"/>
      <c r="E868" s="518"/>
      <c r="F868" s="518"/>
      <c r="G868" s="518"/>
      <c r="H868" s="518"/>
      <c r="I868" s="519"/>
      <c r="J868" s="511"/>
      <c r="K868" s="512"/>
      <c r="L868" s="512"/>
      <c r="M868" s="512"/>
      <c r="N868" s="512"/>
      <c r="O868" s="512"/>
      <c r="P868" s="513"/>
      <c r="Q868" s="63"/>
      <c r="R868" s="64"/>
    </row>
    <row r="869" spans="1:18" x14ac:dyDescent="0.2">
      <c r="A869" s="83"/>
      <c r="B869" s="480" t="s">
        <v>10</v>
      </c>
      <c r="C869" s="481"/>
      <c r="D869" s="481"/>
      <c r="E869" s="481"/>
      <c r="F869" s="481"/>
      <c r="G869" s="481"/>
      <c r="H869" s="481"/>
      <c r="I869" s="482"/>
      <c r="J869" s="79">
        <v>1</v>
      </c>
      <c r="K869" s="483"/>
      <c r="L869" s="484"/>
      <c r="M869" s="484"/>
      <c r="N869" s="484"/>
      <c r="O869" s="484"/>
      <c r="P869" s="485"/>
      <c r="Q869" s="63"/>
      <c r="R869" s="64"/>
    </row>
    <row r="870" spans="1:18" x14ac:dyDescent="0.2">
      <c r="A870" s="83"/>
      <c r="B870" s="486" t="s">
        <v>276</v>
      </c>
      <c r="C870" s="487"/>
      <c r="D870" s="487"/>
      <c r="E870" s="487"/>
      <c r="F870" s="487"/>
      <c r="G870" s="487"/>
      <c r="H870" s="487"/>
      <c r="I870" s="488"/>
      <c r="J870" s="80">
        <v>2</v>
      </c>
      <c r="K870" s="454"/>
      <c r="L870" s="455"/>
      <c r="M870" s="455"/>
      <c r="N870" s="455"/>
      <c r="O870" s="455"/>
      <c r="P870" s="456"/>
      <c r="Q870" s="63"/>
      <c r="R870" s="64"/>
    </row>
    <row r="871" spans="1:18" x14ac:dyDescent="0.2">
      <c r="A871" s="83"/>
      <c r="B871" s="489" t="s">
        <v>234</v>
      </c>
      <c r="C871" s="490"/>
      <c r="D871" s="490"/>
      <c r="E871" s="490"/>
      <c r="F871" s="490"/>
      <c r="G871" s="490"/>
      <c r="H871" s="490"/>
      <c r="I871" s="491"/>
      <c r="J871" s="80">
        <v>3</v>
      </c>
      <c r="K871" s="454"/>
      <c r="L871" s="455"/>
      <c r="M871" s="455"/>
      <c r="N871" s="455"/>
      <c r="O871" s="455"/>
      <c r="P871" s="456"/>
      <c r="Q871" s="63"/>
      <c r="R871" s="64"/>
    </row>
    <row r="872" spans="1:18" x14ac:dyDescent="0.2">
      <c r="A872" s="83"/>
      <c r="B872" s="468"/>
      <c r="C872" s="468"/>
      <c r="D872" s="468"/>
      <c r="E872" s="468"/>
      <c r="F872" s="468"/>
      <c r="G872" s="468"/>
      <c r="H872" s="468"/>
      <c r="I872" s="468"/>
      <c r="J872" s="468"/>
      <c r="K872" s="468"/>
      <c r="L872" s="468"/>
      <c r="M872" s="468"/>
      <c r="N872" s="468"/>
      <c r="O872" s="468"/>
      <c r="P872" s="468"/>
      <c r="Q872" s="63"/>
      <c r="R872" s="64"/>
    </row>
    <row r="873" spans="1:18" ht="12" customHeight="1" x14ac:dyDescent="0.2">
      <c r="A873" s="83"/>
      <c r="B873" s="469" t="s">
        <v>84</v>
      </c>
      <c r="C873" s="471" t="str">
        <f>IF(CODE(B873)=89,"This candidate would like to receive Special","This candidate would not like to receive Special")</f>
        <v>This candidate would like to receive Special</v>
      </c>
      <c r="D873" s="472"/>
      <c r="E873" s="472"/>
      <c r="F873" s="472"/>
      <c r="G873" s="472"/>
      <c r="H873" s="472"/>
      <c r="I873" s="473"/>
      <c r="J873" s="81"/>
      <c r="K873" s="474" t="s">
        <v>235</v>
      </c>
      <c r="L873" s="474"/>
      <c r="M873" s="475"/>
      <c r="N873" s="51" t="str">
        <f>IF($P$33&gt;=25,25,"")</f>
        <v/>
      </c>
      <c r="O873" s="62" t="s">
        <v>52</v>
      </c>
      <c r="P873" s="51" t="str">
        <f>IF($P$33&gt;=25,$P$33,"")</f>
        <v/>
      </c>
      <c r="Q873" s="63"/>
      <c r="R873" s="64"/>
    </row>
    <row r="874" spans="1:18" ht="12" customHeight="1" x14ac:dyDescent="0.2">
      <c r="A874" s="83"/>
      <c r="B874" s="470"/>
      <c r="C874" s="476" t="str">
        <f>IF(CODE(B873)=89,"Announcements and Bulletins from RAD Canada","Announcements and Bulletins from RAD Canada")</f>
        <v>Announcements and Bulletins from RAD Canada</v>
      </c>
      <c r="D874" s="477"/>
      <c r="E874" s="477"/>
      <c r="F874" s="477"/>
      <c r="G874" s="477"/>
      <c r="H874" s="477"/>
      <c r="I874" s="478"/>
      <c r="J874" s="479"/>
      <c r="K874" s="400"/>
      <c r="L874" s="400"/>
      <c r="M874" s="400"/>
      <c r="N874" s="400"/>
      <c r="O874" s="400"/>
      <c r="P874" s="400"/>
      <c r="Q874" s="63"/>
      <c r="R874" s="64"/>
    </row>
    <row r="875" spans="1:18" x14ac:dyDescent="0.2">
      <c r="A875" s="83"/>
      <c r="B875" s="400"/>
      <c r="C875" s="400"/>
      <c r="D875" s="400"/>
      <c r="E875" s="400"/>
      <c r="F875" s="400"/>
      <c r="G875" s="400"/>
      <c r="H875" s="400"/>
      <c r="I875" s="400"/>
      <c r="J875" s="400"/>
      <c r="K875" s="400"/>
      <c r="L875" s="400"/>
      <c r="M875" s="400"/>
      <c r="N875" s="400"/>
      <c r="O875" s="400"/>
      <c r="P875" s="400"/>
      <c r="Q875" s="63"/>
      <c r="R875" s="64"/>
    </row>
    <row r="876" spans="1:18" x14ac:dyDescent="0.2">
      <c r="A876" s="83"/>
      <c r="B876" s="62"/>
      <c r="C876" s="62"/>
      <c r="D876" s="62"/>
      <c r="E876" s="62"/>
      <c r="F876" s="62"/>
      <c r="G876" s="62"/>
      <c r="H876" s="62"/>
      <c r="I876" s="62"/>
      <c r="J876" s="62"/>
      <c r="K876" s="62"/>
      <c r="L876" s="62"/>
      <c r="M876" s="62"/>
      <c r="N876" s="62"/>
      <c r="O876" s="62"/>
      <c r="P876" s="62"/>
      <c r="Q876" s="63"/>
      <c r="R876" s="64"/>
    </row>
    <row r="877" spans="1:18" x14ac:dyDescent="0.2">
      <c r="A877" s="83"/>
      <c r="B877" s="401" t="s">
        <v>281</v>
      </c>
      <c r="C877" s="402"/>
      <c r="D877" s="402"/>
      <c r="E877" s="402"/>
      <c r="F877" s="402"/>
      <c r="G877" s="402"/>
      <c r="H877" s="62"/>
      <c r="I877" s="62"/>
      <c r="J877" s="62"/>
      <c r="K877" s="62"/>
      <c r="L877" s="62"/>
      <c r="M877" s="62"/>
      <c r="N877" s="62"/>
      <c r="O877" s="62"/>
      <c r="P877" s="62"/>
      <c r="Q877" s="63"/>
      <c r="R877" s="64"/>
    </row>
    <row r="878" spans="1:18" ht="15.75" x14ac:dyDescent="0.25">
      <c r="A878" s="83"/>
      <c r="B878" s="402"/>
      <c r="C878" s="402"/>
      <c r="D878" s="402"/>
      <c r="E878" s="402"/>
      <c r="F878" s="402"/>
      <c r="G878" s="402"/>
      <c r="H878" s="82"/>
      <c r="I878" s="403"/>
      <c r="J878" s="403"/>
      <c r="K878" s="403"/>
      <c r="L878" s="403"/>
      <c r="M878" s="403"/>
      <c r="N878" s="403"/>
      <c r="O878" s="403"/>
      <c r="P878" s="403"/>
      <c r="Q878" s="63"/>
      <c r="R878" s="64"/>
    </row>
    <row r="879" spans="1:18" x14ac:dyDescent="0.2">
      <c r="A879" s="83"/>
      <c r="B879" s="400"/>
      <c r="C879" s="400"/>
      <c r="D879" s="400"/>
      <c r="E879" s="400"/>
      <c r="F879" s="400"/>
      <c r="G879" s="400"/>
      <c r="H879" s="400"/>
      <c r="I879" s="400"/>
      <c r="J879" s="400"/>
      <c r="K879" s="400"/>
      <c r="L879" s="400"/>
      <c r="M879" s="403"/>
      <c r="N879" s="403"/>
      <c r="O879" s="403"/>
      <c r="P879" s="403"/>
      <c r="Q879" s="63"/>
      <c r="R879" s="64"/>
    </row>
    <row r="880" spans="1:18" x14ac:dyDescent="0.2">
      <c r="A880" s="83"/>
      <c r="B880" s="404" t="s">
        <v>260</v>
      </c>
      <c r="C880" s="404"/>
      <c r="D880" s="404"/>
      <c r="E880" s="404"/>
      <c r="F880" s="400"/>
      <c r="G880" s="400"/>
      <c r="H880" s="400"/>
      <c r="I880" s="400"/>
      <c r="J880" s="400"/>
      <c r="K880" s="400"/>
      <c r="L880" s="400"/>
      <c r="M880" s="403"/>
      <c r="N880" s="403"/>
      <c r="O880" s="403"/>
      <c r="P880" s="403"/>
      <c r="Q880" s="63"/>
      <c r="R880" s="64"/>
    </row>
    <row r="881" spans="1:20" x14ac:dyDescent="0.2">
      <c r="A881" s="83"/>
      <c r="B881" s="69"/>
      <c r="C881" s="324" t="s">
        <v>75</v>
      </c>
      <c r="D881" s="408"/>
      <c r="E881" s="409"/>
      <c r="F881" s="400"/>
      <c r="G881" s="400"/>
      <c r="H881" s="400"/>
      <c r="I881" s="400"/>
      <c r="J881" s="400"/>
      <c r="K881" s="400"/>
      <c r="L881" s="400"/>
      <c r="M881" s="70"/>
      <c r="N881" s="70"/>
      <c r="O881" s="70"/>
      <c r="P881" s="70"/>
      <c r="Q881" s="63"/>
      <c r="R881" s="64"/>
    </row>
    <row r="882" spans="1:20" x14ac:dyDescent="0.2">
      <c r="A882" s="83"/>
      <c r="B882" s="71"/>
      <c r="C882" s="324" t="s">
        <v>128</v>
      </c>
      <c r="D882" s="408"/>
      <c r="E882" s="409"/>
      <c r="F882" s="400"/>
      <c r="G882" s="400"/>
      <c r="H882" s="400"/>
      <c r="I882" s="400"/>
      <c r="J882" s="400"/>
      <c r="K882" s="400"/>
      <c r="L882" s="400"/>
      <c r="M882" s="407" t="s">
        <v>256</v>
      </c>
      <c r="N882" s="407"/>
      <c r="O882" s="407"/>
      <c r="P882" s="407"/>
      <c r="Q882" s="63"/>
      <c r="R882" s="64"/>
    </row>
    <row r="883" spans="1:20" x14ac:dyDescent="0.2">
      <c r="A883" s="83"/>
      <c r="B883" s="56"/>
      <c r="C883" s="324" t="s">
        <v>200</v>
      </c>
      <c r="D883" s="408"/>
      <c r="E883" s="409"/>
      <c r="F883" s="400"/>
      <c r="G883" s="400"/>
      <c r="H883" s="400"/>
      <c r="I883" s="400"/>
      <c r="J883" s="400"/>
      <c r="K883" s="400"/>
      <c r="L883" s="400"/>
      <c r="M883" s="407"/>
      <c r="N883" s="407"/>
      <c r="O883" s="407"/>
      <c r="P883" s="407"/>
      <c r="Q883" s="63"/>
      <c r="R883" s="64"/>
    </row>
    <row r="884" spans="1:20" x14ac:dyDescent="0.2">
      <c r="A884" s="83"/>
      <c r="B884" s="520"/>
      <c r="C884" s="520"/>
      <c r="D884" s="520"/>
      <c r="E884" s="520"/>
      <c r="F884" s="520"/>
      <c r="G884" s="520"/>
      <c r="H884" s="520"/>
      <c r="I884" s="520"/>
      <c r="J884" s="520"/>
      <c r="K884" s="520"/>
      <c r="L884" s="520"/>
      <c r="M884" s="520"/>
      <c r="N884" s="520"/>
      <c r="O884" s="520"/>
      <c r="P884" s="520"/>
      <c r="Q884" s="63"/>
      <c r="R884" s="64"/>
    </row>
    <row r="885" spans="1:20" x14ac:dyDescent="0.2">
      <c r="A885" s="83"/>
      <c r="B885" s="432" t="s">
        <v>117</v>
      </c>
      <c r="C885" s="433"/>
      <c r="D885" s="434"/>
      <c r="E885" s="442" t="str">
        <f>IF(AND($P$33&gt;=26,NOT(ISBLANK($E$10))),$E$10,"")</f>
        <v/>
      </c>
      <c r="F885" s="443"/>
      <c r="G885" s="444"/>
      <c r="H885" s="414" t="s">
        <v>124</v>
      </c>
      <c r="I885" s="415"/>
      <c r="J885" s="442" t="str">
        <f>IF(AND($P$33&gt;=26,NOT(ISBLANK($J$10))),$J$10,"")</f>
        <v/>
      </c>
      <c r="K885" s="443"/>
      <c r="L885" s="444"/>
      <c r="M885" s="414" t="s">
        <v>118</v>
      </c>
      <c r="N885" s="415"/>
      <c r="O885" s="430" t="str">
        <f>IF(AND($P$33&gt;=26,NOT(ISBLANK($O$10))),$O$10,"")</f>
        <v/>
      </c>
      <c r="P885" s="521"/>
      <c r="Q885" s="63"/>
      <c r="R885" s="545" t="s">
        <v>307</v>
      </c>
      <c r="S885" s="546"/>
      <c r="T885" s="547"/>
    </row>
    <row r="886" spans="1:20" x14ac:dyDescent="0.2">
      <c r="A886" s="83"/>
      <c r="B886" s="432" t="s">
        <v>240</v>
      </c>
      <c r="C886" s="433"/>
      <c r="D886" s="434"/>
      <c r="E886" s="435" t="str">
        <f>IF(NOT($N908=26),"",IF(ISERROR(LOOKUP(26,'Teacher Summary Sheet'!$M$19:$M$181)),"",IF(VLOOKUP(26,'Teacher Summary Sheet'!$M$19:$R$181,2)=0,"",VLOOKUP(26,'Teacher Summary Sheet'!$M$19:$R$181,2))))</f>
        <v/>
      </c>
      <c r="F886" s="436"/>
      <c r="G886" s="437"/>
      <c r="H886" s="438" t="s">
        <v>119</v>
      </c>
      <c r="I886" s="439"/>
      <c r="J886" s="102" t="str">
        <f>IF(NOT($N908=26),"",IF(ISERROR(LOOKUP(26,'Teacher Summary Sheet'!$M$19:$M$181)),"",IF(VLOOKUP(26,'Teacher Summary Sheet'!$M$19:$R$181,6)=0,"",VLOOKUP(26,'Teacher Summary Sheet'!$M$19:$R$181,6))))</f>
        <v/>
      </c>
      <c r="K886" s="414" t="s">
        <v>179</v>
      </c>
      <c r="L886" s="419"/>
      <c r="M886" s="415"/>
      <c r="N886" s="412" t="str">
        <f>IF(NOT($N908=26),"",IF(ISERROR(LOOKUP(26,'Teacher Summary Sheet'!$M$19:$M$181)),"",IF('Teacher Summary Sheet'!$F$31=0,"",'Teacher Summary Sheet'!$F$31)))</f>
        <v/>
      </c>
      <c r="O886" s="440"/>
      <c r="P886" s="413"/>
      <c r="Q886" s="63"/>
      <c r="R886" s="548"/>
      <c r="S886" s="549"/>
      <c r="T886" s="550"/>
    </row>
    <row r="887" spans="1:20" ht="14.25" x14ac:dyDescent="0.2">
      <c r="A887" s="83"/>
      <c r="B887" s="410" t="s">
        <v>241</v>
      </c>
      <c r="C887" s="420"/>
      <c r="D887" s="411"/>
      <c r="E887" s="421" t="str">
        <f>IF(NOT($N908=26),"",IF(ISERROR(LOOKUP(26,'Teacher Summary Sheet'!$M$19:$M$181)),"",IF(VLOOKUP(26,'Teacher Summary Sheet'!$M$19:$R$181,3)=0,"",VLOOKUP(26,'Teacher Summary Sheet'!$M$19:$R$181,3))))</f>
        <v/>
      </c>
      <c r="F887" s="422"/>
      <c r="G887" s="422"/>
      <c r="H887" s="422"/>
      <c r="I887" s="423"/>
      <c r="J887" s="414" t="s">
        <v>124</v>
      </c>
      <c r="K887" s="415"/>
      <c r="L887" s="424" t="str">
        <f>IF(NOT($N908=26),"",IF(ISERROR(LOOKUP(26,'Teacher Summary Sheet'!$M$19:$M$181)),"",IF(VLOOKUP(26,'Teacher Summary Sheet'!$M$19:$R$181,4)=0,"",VLOOKUP(26,'Teacher Summary Sheet'!$M$19:$R$181,4))))</f>
        <v/>
      </c>
      <c r="M887" s="425"/>
      <c r="N887" s="425"/>
      <c r="O887" s="425"/>
      <c r="P887" s="426"/>
      <c r="Q887" s="63"/>
      <c r="R887" s="125" t="str">
        <f>IF(NOT(N908=26),"",IF(COUNTIF(R889:R895,"P")=7,"P","O"))</f>
        <v/>
      </c>
      <c r="S887" s="110" t="str">
        <f>IF(NOT(N908=26),"",IF(COUNTIF(R889:R895,"P")=7,"Complete","Incomplete"))</f>
        <v/>
      </c>
      <c r="T887" s="111"/>
    </row>
    <row r="888" spans="1:20" x14ac:dyDescent="0.2">
      <c r="A888" s="83"/>
      <c r="B888" s="410" t="s">
        <v>120</v>
      </c>
      <c r="C888" s="420"/>
      <c r="D888" s="411"/>
      <c r="E888" s="427"/>
      <c r="F888" s="428"/>
      <c r="G888" s="428"/>
      <c r="H888" s="428"/>
      <c r="I888" s="428"/>
      <c r="J888" s="429"/>
      <c r="K888" s="62" t="s">
        <v>121</v>
      </c>
      <c r="L888" s="427"/>
      <c r="M888" s="428"/>
      <c r="N888" s="428"/>
      <c r="O888" s="428"/>
      <c r="P888" s="429"/>
      <c r="Q888" s="63"/>
    </row>
    <row r="889" spans="1:20" ht="14.25" x14ac:dyDescent="0.2">
      <c r="A889" s="83"/>
      <c r="B889" s="410" t="s">
        <v>196</v>
      </c>
      <c r="C889" s="420"/>
      <c r="D889" s="411"/>
      <c r="E889" s="427"/>
      <c r="F889" s="428"/>
      <c r="G889" s="428"/>
      <c r="H889" s="428"/>
      <c r="I889" s="429"/>
      <c r="J889" s="73" t="s">
        <v>197</v>
      </c>
      <c r="K889" s="405"/>
      <c r="L889" s="406"/>
      <c r="M889" s="414" t="s">
        <v>212</v>
      </c>
      <c r="N889" s="415"/>
      <c r="O889" s="405"/>
      <c r="P889" s="406"/>
      <c r="Q889" s="63"/>
      <c r="R889" s="124" t="str">
        <f>IF(NOT(N908=26),"",IF(OR(COUNTBLANK(E887:E887)=1,COUNTBLANK(L887:L887)=1),"O","P"))</f>
        <v/>
      </c>
      <c r="S889" s="108" t="str">
        <f>IF(NOT(N908=26),"","Candidate Name")</f>
        <v/>
      </c>
      <c r="T889" s="64"/>
    </row>
    <row r="890" spans="1:20" ht="14.25" x14ac:dyDescent="0.2">
      <c r="A890" s="83"/>
      <c r="B890" s="410" t="s">
        <v>198</v>
      </c>
      <c r="C890" s="420"/>
      <c r="D890" s="411"/>
      <c r="E890" s="454"/>
      <c r="F890" s="455"/>
      <c r="G890" s="455"/>
      <c r="H890" s="456"/>
      <c r="I890" s="74" t="s">
        <v>199</v>
      </c>
      <c r="J890" s="427"/>
      <c r="K890" s="428"/>
      <c r="L890" s="428"/>
      <c r="M890" s="428"/>
      <c r="N890" s="428"/>
      <c r="O890" s="428"/>
      <c r="P890" s="429"/>
      <c r="Q890" s="63"/>
      <c r="R890" s="124" t="str">
        <f>IF(NOT(N908=26),"",IF(COUNTBLANK(E886:E886)=1,"O","P"))</f>
        <v/>
      </c>
      <c r="S890" s="108" t="str">
        <f>IF(NOT(N908=26),"","Candidate ID")</f>
        <v/>
      </c>
      <c r="T890" s="64"/>
    </row>
    <row r="891" spans="1:20" ht="14.25" x14ac:dyDescent="0.2">
      <c r="A891" s="83"/>
      <c r="B891" s="410" t="s">
        <v>227</v>
      </c>
      <c r="C891" s="420"/>
      <c r="D891" s="411"/>
      <c r="E891" s="75" t="s">
        <v>218</v>
      </c>
      <c r="F891" s="405"/>
      <c r="G891" s="448"/>
      <c r="H891" s="75" t="s">
        <v>138</v>
      </c>
      <c r="I891" s="449"/>
      <c r="J891" s="450"/>
      <c r="K891" s="76" t="s">
        <v>139</v>
      </c>
      <c r="L891" s="451"/>
      <c r="M891" s="452"/>
      <c r="N891" s="76" t="s">
        <v>228</v>
      </c>
      <c r="O891" s="453" t="str">
        <f ca="1">IF(OR(ISBLANK(L891),ISBLANK(I891),ISBLANK(F891),COUNTBLANK(J886:J886)=1),"",IF(DATEDIF(DATE(L891,VLOOKUP(I891,data!$T$2:$U$13,2,FALSE),F891),IF(AND(TODAY()&lt;data!$AJ$12,TODAY()&gt;data!$AI$12),data!$AI$3,data!$AJ$3),"Y")&gt;=data!$AC$28,YEAR(TODAY())-L891,data!$AD$3))</f>
        <v/>
      </c>
      <c r="P891" s="413"/>
      <c r="Q891" s="63"/>
      <c r="R891" s="124" t="str">
        <f>IF(NOT(N908=26),"",IF(OR(ISBLANK(E888),ISBLANK(L888),ISBLANK(K889),ISBLANK(O889)),"O","P"))</f>
        <v/>
      </c>
      <c r="S891" s="108" t="str">
        <f>IF(NOT(N908=26),"","Address")</f>
        <v/>
      </c>
      <c r="T891" s="64"/>
    </row>
    <row r="892" spans="1:20" ht="15" thickBot="1" x14ac:dyDescent="0.25">
      <c r="A892" s="83"/>
      <c r="B892" s="410" t="s">
        <v>214</v>
      </c>
      <c r="C892" s="411"/>
      <c r="D892" s="412" t="str">
        <f>IF(NOT($N908=26),"",IF(ISERROR(LOOKUP(26,'Teacher Summary Sheet'!$M$19:$M$181)),"",IF(VLOOKUP(26,'Teacher Summary Sheet'!$M$19:$R$181,5)=0,"",VLOOKUP(26,'Teacher Summary Sheet'!$M$19:$R$181,5))))</f>
        <v/>
      </c>
      <c r="E892" s="413"/>
      <c r="F892" s="414" t="s">
        <v>319</v>
      </c>
      <c r="G892" s="415"/>
      <c r="H892" s="416"/>
      <c r="I892" s="417"/>
      <c r="J892" s="418"/>
      <c r="K892" s="414" t="s">
        <v>320</v>
      </c>
      <c r="L892" s="419"/>
      <c r="M892" s="419"/>
      <c r="N892" s="415"/>
      <c r="O892" s="405" t="s">
        <v>268</v>
      </c>
      <c r="P892" s="406"/>
      <c r="Q892" s="63"/>
      <c r="R892" s="124" t="str">
        <f>IF(NOT(N908=26),"",IF(OR(ISBLANK(F891),ISBLANK(I891),ISBLANK(L891)),"O","P"))</f>
        <v/>
      </c>
      <c r="S892" s="108" t="str">
        <f>IF(NOT(N908=26),"","Date of Birth")</f>
        <v/>
      </c>
      <c r="T892" s="64"/>
    </row>
    <row r="893" spans="1:20" ht="14.25" x14ac:dyDescent="0.2">
      <c r="A893" s="83"/>
      <c r="B893" s="522" t="s">
        <v>297</v>
      </c>
      <c r="C893" s="463"/>
      <c r="D893" s="463"/>
      <c r="E893" s="463"/>
      <c r="F893" s="463"/>
      <c r="G893" s="463"/>
      <c r="H893" s="463"/>
      <c r="I893" s="463"/>
      <c r="J893" s="463"/>
      <c r="K893" s="463"/>
      <c r="L893" s="463"/>
      <c r="M893" s="463"/>
      <c r="N893" s="463"/>
      <c r="O893" s="463"/>
      <c r="P893" s="464"/>
      <c r="Q893" s="63"/>
      <c r="R893" s="124" t="str">
        <f>IF(NOT(N908=26),"",IF(COUNTBLANK(J886:J886)=1,"O","P"))</f>
        <v/>
      </c>
      <c r="S893" s="112" t="str">
        <f>IF(NOT(N908=26),"","Exam Level")</f>
        <v/>
      </c>
      <c r="T893" s="64"/>
    </row>
    <row r="894" spans="1:20" ht="14.25" x14ac:dyDescent="0.2">
      <c r="A894" s="83"/>
      <c r="B894" s="465"/>
      <c r="C894" s="466"/>
      <c r="D894" s="466"/>
      <c r="E894" s="466"/>
      <c r="F894" s="466"/>
      <c r="G894" s="466"/>
      <c r="H894" s="466"/>
      <c r="I894" s="466"/>
      <c r="J894" s="466"/>
      <c r="K894" s="466"/>
      <c r="L894" s="466"/>
      <c r="M894" s="466"/>
      <c r="N894" s="466"/>
      <c r="O894" s="466"/>
      <c r="P894" s="467"/>
      <c r="Q894" s="63"/>
      <c r="R894" s="124" t="str">
        <f>IF(NOT(N908=26),"",IF(COUNTBLANK(D892:D892)=1,"O","P"))</f>
        <v/>
      </c>
      <c r="S894" s="109" t="str">
        <f>IF(NOT(N908=26),"","Gender")</f>
        <v/>
      </c>
      <c r="T894" s="64"/>
    </row>
    <row r="895" spans="1:20" ht="14.25" x14ac:dyDescent="0.2">
      <c r="A895" s="83"/>
      <c r="B895" s="432" t="s">
        <v>298</v>
      </c>
      <c r="C895" s="433"/>
      <c r="D895" s="434"/>
      <c r="E895" s="405"/>
      <c r="F895" s="406"/>
      <c r="G895" s="432" t="s">
        <v>299</v>
      </c>
      <c r="H895" s="433"/>
      <c r="I895" s="434"/>
      <c r="J895" s="405"/>
      <c r="K895" s="448"/>
      <c r="L895" s="406"/>
      <c r="M895" s="414" t="s">
        <v>300</v>
      </c>
      <c r="N895" s="415"/>
      <c r="O895" s="457"/>
      <c r="P895" s="458"/>
      <c r="Q895" s="63"/>
      <c r="R895" s="124" t="str">
        <f>IF(NOT(N908=26),"",IF(ISBLANK(H892),"O","P"))</f>
        <v/>
      </c>
      <c r="S895" s="109" t="str">
        <f>IF(NOT(N908=26),"","Height")</f>
        <v/>
      </c>
      <c r="T895" s="64"/>
    </row>
    <row r="896" spans="1:20" x14ac:dyDescent="0.2">
      <c r="A896" s="83"/>
      <c r="B896" s="77" t="s">
        <v>153</v>
      </c>
      <c r="C896" s="405"/>
      <c r="D896" s="406"/>
      <c r="E896" s="414" t="s">
        <v>301</v>
      </c>
      <c r="F896" s="415"/>
      <c r="G896" s="459"/>
      <c r="H896" s="460"/>
      <c r="I896" s="461"/>
      <c r="J896" s="414" t="s">
        <v>302</v>
      </c>
      <c r="K896" s="415"/>
      <c r="L896" s="454"/>
      <c r="M896" s="455"/>
      <c r="N896" s="455"/>
      <c r="O896" s="455"/>
      <c r="P896" s="456"/>
      <c r="Q896" s="63"/>
      <c r="R896" s="64"/>
      <c r="S896" s="64"/>
      <c r="T896" s="64"/>
    </row>
    <row r="897" spans="1:20" x14ac:dyDescent="0.2">
      <c r="A897" s="83"/>
      <c r="B897" s="410" t="s">
        <v>116</v>
      </c>
      <c r="C897" s="420"/>
      <c r="D897" s="420"/>
      <c r="E897" s="420"/>
      <c r="F897" s="420"/>
      <c r="G897" s="420"/>
      <c r="H897" s="420"/>
      <c r="I897" s="420"/>
      <c r="J897" s="420"/>
      <c r="K897" s="420"/>
      <c r="L897" s="420"/>
      <c r="M897" s="420"/>
      <c r="N897" s="420"/>
      <c r="O897" s="420"/>
      <c r="P897" s="411"/>
      <c r="Q897" s="63"/>
      <c r="R897" s="64"/>
      <c r="S897" s="64"/>
      <c r="T897" s="64"/>
    </row>
    <row r="898" spans="1:20" x14ac:dyDescent="0.2">
      <c r="A898" s="83"/>
      <c r="B898" s="410" t="s">
        <v>298</v>
      </c>
      <c r="C898" s="420"/>
      <c r="D898" s="411"/>
      <c r="E898" s="405"/>
      <c r="F898" s="406"/>
      <c r="G898" s="410" t="s">
        <v>299</v>
      </c>
      <c r="H898" s="420"/>
      <c r="I898" s="411"/>
      <c r="J898" s="454"/>
      <c r="K898" s="455"/>
      <c r="L898" s="456"/>
      <c r="M898" s="414" t="s">
        <v>300</v>
      </c>
      <c r="N898" s="415"/>
      <c r="O898" s="457"/>
      <c r="P898" s="458"/>
      <c r="Q898" s="63"/>
      <c r="R898" s="64"/>
    </row>
    <row r="899" spans="1:20" ht="13.5" thickBot="1" x14ac:dyDescent="0.25">
      <c r="A899" s="83"/>
      <c r="B899" s="78" t="s">
        <v>153</v>
      </c>
      <c r="C899" s="492"/>
      <c r="D899" s="493"/>
      <c r="E899" s="494" t="s">
        <v>301</v>
      </c>
      <c r="F899" s="495"/>
      <c r="G899" s="496"/>
      <c r="H899" s="497"/>
      <c r="I899" s="498"/>
      <c r="J899" s="414" t="s">
        <v>302</v>
      </c>
      <c r="K899" s="415"/>
      <c r="L899" s="454"/>
      <c r="M899" s="455"/>
      <c r="N899" s="455"/>
      <c r="O899" s="455"/>
      <c r="P899" s="456"/>
      <c r="Q899" s="63"/>
      <c r="R899" s="64"/>
    </row>
    <row r="900" spans="1:20" x14ac:dyDescent="0.2">
      <c r="A900" s="83"/>
      <c r="B900" s="499" t="s">
        <v>126</v>
      </c>
      <c r="C900" s="500"/>
      <c r="D900" s="500"/>
      <c r="E900" s="500"/>
      <c r="F900" s="500"/>
      <c r="G900" s="500"/>
      <c r="H900" s="500"/>
      <c r="I900" s="501"/>
      <c r="J900" s="505"/>
      <c r="K900" s="506"/>
      <c r="L900" s="506"/>
      <c r="M900" s="506"/>
      <c r="N900" s="506"/>
      <c r="O900" s="506"/>
      <c r="P900" s="507"/>
      <c r="Q900" s="63"/>
      <c r="R900" s="64"/>
    </row>
    <row r="901" spans="1:20" x14ac:dyDescent="0.2">
      <c r="A901" s="83"/>
      <c r="B901" s="502"/>
      <c r="C901" s="503"/>
      <c r="D901" s="503"/>
      <c r="E901" s="503"/>
      <c r="F901" s="503"/>
      <c r="G901" s="503"/>
      <c r="H901" s="503"/>
      <c r="I901" s="504"/>
      <c r="J901" s="508"/>
      <c r="K901" s="509"/>
      <c r="L901" s="509"/>
      <c r="M901" s="509"/>
      <c r="N901" s="509"/>
      <c r="O901" s="509"/>
      <c r="P901" s="510"/>
      <c r="Q901" s="63"/>
      <c r="R901" s="64"/>
    </row>
    <row r="902" spans="1:20" x14ac:dyDescent="0.2">
      <c r="A902" s="83"/>
      <c r="B902" s="514" t="s">
        <v>127</v>
      </c>
      <c r="C902" s="515"/>
      <c r="D902" s="515"/>
      <c r="E902" s="515"/>
      <c r="F902" s="515"/>
      <c r="G902" s="515"/>
      <c r="H902" s="515"/>
      <c r="I902" s="516"/>
      <c r="J902" s="508"/>
      <c r="K902" s="509"/>
      <c r="L902" s="509"/>
      <c r="M902" s="509"/>
      <c r="N902" s="509"/>
      <c r="O902" s="509"/>
      <c r="P902" s="510"/>
      <c r="Q902" s="63"/>
      <c r="R902" s="64"/>
    </row>
    <row r="903" spans="1:20" ht="13.5" thickBot="1" x14ac:dyDescent="0.25">
      <c r="A903" s="83"/>
      <c r="B903" s="517"/>
      <c r="C903" s="518"/>
      <c r="D903" s="518"/>
      <c r="E903" s="518"/>
      <c r="F903" s="518"/>
      <c r="G903" s="518"/>
      <c r="H903" s="518"/>
      <c r="I903" s="519"/>
      <c r="J903" s="511"/>
      <c r="K903" s="512"/>
      <c r="L903" s="512"/>
      <c r="M903" s="512"/>
      <c r="N903" s="512"/>
      <c r="O903" s="512"/>
      <c r="P903" s="513"/>
      <c r="Q903" s="63"/>
      <c r="R903" s="64"/>
    </row>
    <row r="904" spans="1:20" x14ac:dyDescent="0.2">
      <c r="A904" s="83"/>
      <c r="B904" s="480" t="s">
        <v>10</v>
      </c>
      <c r="C904" s="481"/>
      <c r="D904" s="481"/>
      <c r="E904" s="481"/>
      <c r="F904" s="481"/>
      <c r="G904" s="481"/>
      <c r="H904" s="481"/>
      <c r="I904" s="482"/>
      <c r="J904" s="79">
        <v>1</v>
      </c>
      <c r="K904" s="483"/>
      <c r="L904" s="484"/>
      <c r="M904" s="484"/>
      <c r="N904" s="484"/>
      <c r="O904" s="484"/>
      <c r="P904" s="485"/>
      <c r="Q904" s="63"/>
      <c r="R904" s="64"/>
    </row>
    <row r="905" spans="1:20" x14ac:dyDescent="0.2">
      <c r="A905" s="83"/>
      <c r="B905" s="486" t="s">
        <v>276</v>
      </c>
      <c r="C905" s="487"/>
      <c r="D905" s="487"/>
      <c r="E905" s="487"/>
      <c r="F905" s="487"/>
      <c r="G905" s="487"/>
      <c r="H905" s="487"/>
      <c r="I905" s="488"/>
      <c r="J905" s="80">
        <v>2</v>
      </c>
      <c r="K905" s="454"/>
      <c r="L905" s="455"/>
      <c r="M905" s="455"/>
      <c r="N905" s="455"/>
      <c r="O905" s="455"/>
      <c r="P905" s="456"/>
      <c r="Q905" s="63"/>
      <c r="R905" s="64"/>
    </row>
    <row r="906" spans="1:20" x14ac:dyDescent="0.2">
      <c r="A906" s="83"/>
      <c r="B906" s="489" t="s">
        <v>234</v>
      </c>
      <c r="C906" s="490"/>
      <c r="D906" s="490"/>
      <c r="E906" s="490"/>
      <c r="F906" s="490"/>
      <c r="G906" s="490"/>
      <c r="H906" s="490"/>
      <c r="I906" s="491"/>
      <c r="J906" s="80">
        <v>3</v>
      </c>
      <c r="K906" s="454"/>
      <c r="L906" s="455"/>
      <c r="M906" s="455"/>
      <c r="N906" s="455"/>
      <c r="O906" s="455"/>
      <c r="P906" s="456"/>
      <c r="Q906" s="63"/>
      <c r="R906" s="64"/>
    </row>
    <row r="907" spans="1:20" x14ac:dyDescent="0.2">
      <c r="A907" s="83"/>
      <c r="B907" s="468"/>
      <c r="C907" s="468"/>
      <c r="D907" s="468"/>
      <c r="E907" s="468"/>
      <c r="F907" s="468"/>
      <c r="G907" s="468"/>
      <c r="H907" s="468"/>
      <c r="I907" s="468"/>
      <c r="J907" s="468"/>
      <c r="K907" s="468"/>
      <c r="L907" s="468"/>
      <c r="M907" s="468"/>
      <c r="N907" s="468"/>
      <c r="O907" s="468"/>
      <c r="P907" s="468"/>
      <c r="Q907" s="63"/>
      <c r="R907" s="64"/>
    </row>
    <row r="908" spans="1:20" ht="12" customHeight="1" x14ac:dyDescent="0.2">
      <c r="A908" s="83"/>
      <c r="B908" s="469" t="s">
        <v>84</v>
      </c>
      <c r="C908" s="471" t="str">
        <f>IF(CODE(B908)=89,"This candidate would like to receive Special","This candidate would not like to receive Special")</f>
        <v>This candidate would like to receive Special</v>
      </c>
      <c r="D908" s="472"/>
      <c r="E908" s="472"/>
      <c r="F908" s="472"/>
      <c r="G908" s="472"/>
      <c r="H908" s="472"/>
      <c r="I908" s="473"/>
      <c r="J908" s="81"/>
      <c r="K908" s="474" t="s">
        <v>205</v>
      </c>
      <c r="L908" s="474"/>
      <c r="M908" s="475"/>
      <c r="N908" s="51" t="str">
        <f>IF($P$33&gt;=26,26,"")</f>
        <v/>
      </c>
      <c r="O908" s="62" t="s">
        <v>52</v>
      </c>
      <c r="P908" s="51" t="str">
        <f>IF($P$33&gt;=26,$P$33,"")</f>
        <v/>
      </c>
      <c r="Q908" s="63"/>
      <c r="R908" s="64"/>
    </row>
    <row r="909" spans="1:20" ht="12" customHeight="1" x14ac:dyDescent="0.2">
      <c r="A909" s="83"/>
      <c r="B909" s="470"/>
      <c r="C909" s="476" t="str">
        <f>IF(CODE(B908)=89,"Announcements and Bulletins from RAD Canada","Announcements and Bulletins from RAD Canada")</f>
        <v>Announcements and Bulletins from RAD Canada</v>
      </c>
      <c r="D909" s="477"/>
      <c r="E909" s="477"/>
      <c r="F909" s="477"/>
      <c r="G909" s="477"/>
      <c r="H909" s="477"/>
      <c r="I909" s="478"/>
      <c r="J909" s="479"/>
      <c r="K909" s="400"/>
      <c r="L909" s="400"/>
      <c r="M909" s="400"/>
      <c r="N909" s="400"/>
      <c r="O909" s="400"/>
      <c r="P909" s="400"/>
      <c r="Q909" s="63"/>
      <c r="R909" s="64"/>
    </row>
    <row r="910" spans="1:20" x14ac:dyDescent="0.2">
      <c r="A910" s="83"/>
      <c r="B910" s="400"/>
      <c r="C910" s="400"/>
      <c r="D910" s="400"/>
      <c r="E910" s="400"/>
      <c r="F910" s="400"/>
      <c r="G910" s="400"/>
      <c r="H910" s="400"/>
      <c r="I910" s="400"/>
      <c r="J910" s="400"/>
      <c r="K910" s="400"/>
      <c r="L910" s="400"/>
      <c r="M910" s="400"/>
      <c r="N910" s="400"/>
      <c r="O910" s="400"/>
      <c r="P910" s="400"/>
      <c r="Q910" s="63"/>
      <c r="R910" s="64"/>
    </row>
    <row r="911" spans="1:20" x14ac:dyDescent="0.2">
      <c r="A911" s="83"/>
      <c r="B911" s="62"/>
      <c r="C911" s="62"/>
      <c r="D911" s="62"/>
      <c r="E911" s="62"/>
      <c r="F911" s="62"/>
      <c r="G911" s="62"/>
      <c r="H911" s="62"/>
      <c r="I911" s="62"/>
      <c r="J911" s="62"/>
      <c r="K911" s="62"/>
      <c r="L911" s="62"/>
      <c r="M911" s="62"/>
      <c r="N911" s="62"/>
      <c r="O911" s="62"/>
      <c r="P911" s="62"/>
      <c r="Q911" s="63"/>
      <c r="R911" s="64"/>
    </row>
    <row r="912" spans="1:20" x14ac:dyDescent="0.2">
      <c r="A912" s="83"/>
      <c r="B912" s="401" t="s">
        <v>233</v>
      </c>
      <c r="C912" s="402"/>
      <c r="D912" s="402"/>
      <c r="E912" s="402"/>
      <c r="F912" s="402"/>
      <c r="G912" s="402"/>
      <c r="H912" s="62"/>
      <c r="I912" s="62"/>
      <c r="J912" s="62"/>
      <c r="K912" s="62"/>
      <c r="L912" s="62"/>
      <c r="M912" s="62"/>
      <c r="N912" s="62"/>
      <c r="O912" s="62"/>
      <c r="P912" s="62"/>
      <c r="Q912" s="63"/>
      <c r="R912" s="64"/>
    </row>
    <row r="913" spans="1:20" ht="15.75" x14ac:dyDescent="0.25">
      <c r="A913" s="83"/>
      <c r="B913" s="402"/>
      <c r="C913" s="402"/>
      <c r="D913" s="402"/>
      <c r="E913" s="402"/>
      <c r="F913" s="402"/>
      <c r="G913" s="402"/>
      <c r="H913" s="82"/>
      <c r="I913" s="403"/>
      <c r="J913" s="403"/>
      <c r="K913" s="403"/>
      <c r="L913" s="403"/>
      <c r="M913" s="403"/>
      <c r="N913" s="403"/>
      <c r="O913" s="403"/>
      <c r="P913" s="403"/>
      <c r="Q913" s="63"/>
      <c r="R913" s="64"/>
    </row>
    <row r="914" spans="1:20" x14ac:dyDescent="0.2">
      <c r="A914" s="83"/>
      <c r="B914" s="400"/>
      <c r="C914" s="400"/>
      <c r="D914" s="400"/>
      <c r="E914" s="400"/>
      <c r="F914" s="400"/>
      <c r="G914" s="400"/>
      <c r="H914" s="400"/>
      <c r="I914" s="400"/>
      <c r="J914" s="400"/>
      <c r="K914" s="400"/>
      <c r="L914" s="400"/>
      <c r="M914" s="403"/>
      <c r="N914" s="403"/>
      <c r="O914" s="403"/>
      <c r="P914" s="403"/>
      <c r="Q914" s="63"/>
      <c r="R914" s="64"/>
    </row>
    <row r="915" spans="1:20" x14ac:dyDescent="0.2">
      <c r="A915" s="83"/>
      <c r="B915" s="404" t="s">
        <v>260</v>
      </c>
      <c r="C915" s="404"/>
      <c r="D915" s="404"/>
      <c r="E915" s="404"/>
      <c r="F915" s="400"/>
      <c r="G915" s="400"/>
      <c r="H915" s="400"/>
      <c r="I915" s="400"/>
      <c r="J915" s="400"/>
      <c r="K915" s="400"/>
      <c r="L915" s="400"/>
      <c r="M915" s="403"/>
      <c r="N915" s="403"/>
      <c r="O915" s="403"/>
      <c r="P915" s="403"/>
      <c r="Q915" s="63"/>
      <c r="R915" s="64"/>
    </row>
    <row r="916" spans="1:20" x14ac:dyDescent="0.2">
      <c r="A916" s="83"/>
      <c r="B916" s="69"/>
      <c r="C916" s="324" t="s">
        <v>75</v>
      </c>
      <c r="D916" s="408"/>
      <c r="E916" s="409"/>
      <c r="F916" s="400"/>
      <c r="G916" s="400"/>
      <c r="H916" s="400"/>
      <c r="I916" s="400"/>
      <c r="J916" s="400"/>
      <c r="K916" s="400"/>
      <c r="L916" s="400"/>
      <c r="M916" s="70"/>
      <c r="N916" s="70"/>
      <c r="O916" s="70"/>
      <c r="P916" s="70"/>
      <c r="Q916" s="63"/>
      <c r="R916" s="64"/>
    </row>
    <row r="917" spans="1:20" x14ac:dyDescent="0.2">
      <c r="A917" s="83"/>
      <c r="B917" s="71"/>
      <c r="C917" s="324" t="s">
        <v>128</v>
      </c>
      <c r="D917" s="408"/>
      <c r="E917" s="409"/>
      <c r="F917" s="400"/>
      <c r="G917" s="400"/>
      <c r="H917" s="400"/>
      <c r="I917" s="400"/>
      <c r="J917" s="400"/>
      <c r="K917" s="400"/>
      <c r="L917" s="400"/>
      <c r="M917" s="407" t="s">
        <v>256</v>
      </c>
      <c r="N917" s="407"/>
      <c r="O917" s="407"/>
      <c r="P917" s="407"/>
      <c r="Q917" s="63"/>
      <c r="R917" s="64"/>
    </row>
    <row r="918" spans="1:20" x14ac:dyDescent="0.2">
      <c r="A918" s="83"/>
      <c r="B918" s="56"/>
      <c r="C918" s="324" t="s">
        <v>275</v>
      </c>
      <c r="D918" s="408"/>
      <c r="E918" s="409"/>
      <c r="F918" s="400"/>
      <c r="G918" s="400"/>
      <c r="H918" s="400"/>
      <c r="I918" s="400"/>
      <c r="J918" s="400"/>
      <c r="K918" s="400"/>
      <c r="L918" s="400"/>
      <c r="M918" s="407"/>
      <c r="N918" s="407"/>
      <c r="O918" s="407"/>
      <c r="P918" s="407"/>
      <c r="Q918" s="63"/>
      <c r="R918" s="64"/>
    </row>
    <row r="919" spans="1:20" x14ac:dyDescent="0.2">
      <c r="A919" s="83"/>
      <c r="B919" s="520"/>
      <c r="C919" s="520"/>
      <c r="D919" s="520"/>
      <c r="E919" s="520"/>
      <c r="F919" s="520"/>
      <c r="G919" s="520"/>
      <c r="H919" s="520"/>
      <c r="I919" s="520"/>
      <c r="J919" s="520"/>
      <c r="K919" s="520"/>
      <c r="L919" s="520"/>
      <c r="M919" s="520"/>
      <c r="N919" s="520"/>
      <c r="O919" s="520"/>
      <c r="P919" s="520"/>
      <c r="Q919" s="63"/>
      <c r="R919" s="64"/>
    </row>
    <row r="920" spans="1:20" x14ac:dyDescent="0.2">
      <c r="A920" s="83"/>
      <c r="B920" s="432" t="s">
        <v>117</v>
      </c>
      <c r="C920" s="433"/>
      <c r="D920" s="434"/>
      <c r="E920" s="442" t="str">
        <f>IF(AND($P$33&gt;=27,NOT(ISBLANK($E$10))),$E$10,"")</f>
        <v/>
      </c>
      <c r="F920" s="443"/>
      <c r="G920" s="444"/>
      <c r="H920" s="414" t="s">
        <v>124</v>
      </c>
      <c r="I920" s="415"/>
      <c r="J920" s="442" t="str">
        <f>IF(AND($P$33&gt;=27,NOT(ISBLANK($J$10))),$J$10,"")</f>
        <v/>
      </c>
      <c r="K920" s="443"/>
      <c r="L920" s="444"/>
      <c r="M920" s="414" t="s">
        <v>118</v>
      </c>
      <c r="N920" s="415"/>
      <c r="O920" s="430" t="str">
        <f>IF(AND($P$33&gt;=27,NOT(ISBLANK($O$10))),$O$10,"")</f>
        <v/>
      </c>
      <c r="P920" s="521"/>
      <c r="Q920" s="63"/>
      <c r="R920" s="545" t="s">
        <v>307</v>
      </c>
      <c r="S920" s="546"/>
      <c r="T920" s="547"/>
    </row>
    <row r="921" spans="1:20" x14ac:dyDescent="0.2">
      <c r="A921" s="83"/>
      <c r="B921" s="432" t="s">
        <v>240</v>
      </c>
      <c r="C921" s="433"/>
      <c r="D921" s="434"/>
      <c r="E921" s="435" t="str">
        <f>IF(NOT($N943=27),"",IF(ISERROR(LOOKUP(27,'Teacher Summary Sheet'!$M$19:$M$181)),"",IF(VLOOKUP(27,'Teacher Summary Sheet'!$M$19:$R$181,2)=0,"",VLOOKUP(27,'Teacher Summary Sheet'!$M$19:$R$181,2))))</f>
        <v/>
      </c>
      <c r="F921" s="436"/>
      <c r="G921" s="437"/>
      <c r="H921" s="438" t="s">
        <v>119</v>
      </c>
      <c r="I921" s="439"/>
      <c r="J921" s="102" t="str">
        <f>IF(NOT($N943=27),"",IF(ISERROR(LOOKUP(27,'Teacher Summary Sheet'!$M$19:$M$181)),"",IF(VLOOKUP(27,'Teacher Summary Sheet'!$M$19:$R$181,6)=0,"",VLOOKUP(27,'Teacher Summary Sheet'!$M$19:$R$181,6))))</f>
        <v/>
      </c>
      <c r="K921" s="414" t="s">
        <v>179</v>
      </c>
      <c r="L921" s="419"/>
      <c r="M921" s="415"/>
      <c r="N921" s="412" t="str">
        <f>IF(NOT($N943=27),"",IF(ISERROR(LOOKUP(27,'Teacher Summary Sheet'!$M$19:$M$181)),"",IF('Teacher Summary Sheet'!$F$31=0,"",'Teacher Summary Sheet'!$F$31)))</f>
        <v/>
      </c>
      <c r="O921" s="440"/>
      <c r="P921" s="413"/>
      <c r="Q921" s="63"/>
      <c r="R921" s="548"/>
      <c r="S921" s="549"/>
      <c r="T921" s="550"/>
    </row>
    <row r="922" spans="1:20" ht="14.25" x14ac:dyDescent="0.2">
      <c r="A922" s="83"/>
      <c r="B922" s="410" t="s">
        <v>241</v>
      </c>
      <c r="C922" s="420"/>
      <c r="D922" s="411"/>
      <c r="E922" s="421" t="str">
        <f>IF(NOT($N943=27),"",IF(ISERROR(LOOKUP(27,'Teacher Summary Sheet'!$M$19:$M$181)),"",IF(VLOOKUP(27,'Teacher Summary Sheet'!$M$19:$R$181,3)=0,"",VLOOKUP(27,'Teacher Summary Sheet'!$M$19:$R$181,3))))</f>
        <v/>
      </c>
      <c r="F922" s="422"/>
      <c r="G922" s="422"/>
      <c r="H922" s="422"/>
      <c r="I922" s="423"/>
      <c r="J922" s="414" t="s">
        <v>124</v>
      </c>
      <c r="K922" s="415"/>
      <c r="L922" s="424" t="str">
        <f>IF(NOT($N943=27),"",IF(ISERROR(LOOKUP(27,'Teacher Summary Sheet'!$M$19:$M$181)),"",IF(VLOOKUP(27,'Teacher Summary Sheet'!$M$19:$R$181,4)=0,"",VLOOKUP(27,'Teacher Summary Sheet'!$M$19:$R$181,4))))</f>
        <v/>
      </c>
      <c r="M922" s="425"/>
      <c r="N922" s="425"/>
      <c r="O922" s="425"/>
      <c r="P922" s="426"/>
      <c r="Q922" s="63"/>
      <c r="R922" s="125" t="str">
        <f>IF(NOT(N943=27),"",IF(COUNTIF(R924:R930,"P")=7,"P","O"))</f>
        <v/>
      </c>
      <c r="S922" s="110" t="str">
        <f>IF(NOT(N943=27),"",IF(COUNTIF(R924:R930,"P")=7,"Complete","Incomplete"))</f>
        <v/>
      </c>
      <c r="T922" s="111"/>
    </row>
    <row r="923" spans="1:20" x14ac:dyDescent="0.2">
      <c r="A923" s="83"/>
      <c r="B923" s="410" t="s">
        <v>120</v>
      </c>
      <c r="C923" s="420"/>
      <c r="D923" s="411"/>
      <c r="E923" s="427"/>
      <c r="F923" s="428"/>
      <c r="G923" s="428"/>
      <c r="H923" s="428"/>
      <c r="I923" s="428"/>
      <c r="J923" s="429"/>
      <c r="K923" s="62" t="s">
        <v>121</v>
      </c>
      <c r="L923" s="427"/>
      <c r="M923" s="428"/>
      <c r="N923" s="428"/>
      <c r="O923" s="428"/>
      <c r="P923" s="429"/>
      <c r="Q923" s="63"/>
    </row>
    <row r="924" spans="1:20" ht="14.25" x14ac:dyDescent="0.2">
      <c r="A924" s="83"/>
      <c r="B924" s="410" t="s">
        <v>196</v>
      </c>
      <c r="C924" s="420"/>
      <c r="D924" s="411"/>
      <c r="E924" s="427"/>
      <c r="F924" s="428"/>
      <c r="G924" s="428"/>
      <c r="H924" s="428"/>
      <c r="I924" s="429"/>
      <c r="J924" s="73" t="s">
        <v>197</v>
      </c>
      <c r="K924" s="405"/>
      <c r="L924" s="406"/>
      <c r="M924" s="414" t="s">
        <v>212</v>
      </c>
      <c r="N924" s="415"/>
      <c r="O924" s="405"/>
      <c r="P924" s="406"/>
      <c r="Q924" s="63"/>
      <c r="R924" s="124" t="str">
        <f>IF(NOT(N943=27),"",IF(OR(COUNTBLANK(E922:E922)=1,COUNTBLANK(L922:L922)=1),"O","P"))</f>
        <v/>
      </c>
      <c r="S924" s="108" t="str">
        <f>IF(NOT(N943=27),"","Candidate Name")</f>
        <v/>
      </c>
      <c r="T924" s="64"/>
    </row>
    <row r="925" spans="1:20" ht="14.25" x14ac:dyDescent="0.2">
      <c r="A925" s="83"/>
      <c r="B925" s="410" t="s">
        <v>198</v>
      </c>
      <c r="C925" s="420"/>
      <c r="D925" s="411"/>
      <c r="E925" s="454"/>
      <c r="F925" s="455"/>
      <c r="G925" s="455"/>
      <c r="H925" s="456"/>
      <c r="I925" s="74" t="s">
        <v>199</v>
      </c>
      <c r="J925" s="427"/>
      <c r="K925" s="428"/>
      <c r="L925" s="428"/>
      <c r="M925" s="428"/>
      <c r="N925" s="428"/>
      <c r="O925" s="428"/>
      <c r="P925" s="429"/>
      <c r="Q925" s="63"/>
      <c r="R925" s="124" t="str">
        <f>IF(NOT(N943=27),"",IF(COUNTBLANK(E921:E921)=1,"O","P"))</f>
        <v/>
      </c>
      <c r="S925" s="108" t="str">
        <f>IF(NOT(N943=27),"","Candidate ID")</f>
        <v/>
      </c>
      <c r="T925" s="64"/>
    </row>
    <row r="926" spans="1:20" ht="14.25" x14ac:dyDescent="0.2">
      <c r="A926" s="83"/>
      <c r="B926" s="410" t="s">
        <v>227</v>
      </c>
      <c r="C926" s="420"/>
      <c r="D926" s="411"/>
      <c r="E926" s="75" t="s">
        <v>218</v>
      </c>
      <c r="F926" s="405"/>
      <c r="G926" s="448"/>
      <c r="H926" s="75" t="s">
        <v>138</v>
      </c>
      <c r="I926" s="449"/>
      <c r="J926" s="450"/>
      <c r="K926" s="76" t="s">
        <v>139</v>
      </c>
      <c r="L926" s="451"/>
      <c r="M926" s="452"/>
      <c r="N926" s="76" t="s">
        <v>228</v>
      </c>
      <c r="O926" s="453" t="str">
        <f ca="1">IF(OR(ISBLANK(L926),ISBLANK(I926),ISBLANK(F926),COUNTBLANK(J921:J921)=1),"",IF(DATEDIF(DATE(L926,VLOOKUP(I926,data!$T$2:$U$13,2,FALSE),F926),IF(AND(TODAY()&lt;data!$AJ$12,TODAY()&gt;data!$AI$12),data!$AI$3,data!$AJ$3),"Y")&gt;=data!$AC$29,YEAR(TODAY())-L926,data!$AD$3))</f>
        <v/>
      </c>
      <c r="P926" s="413"/>
      <c r="Q926" s="63"/>
      <c r="R926" s="124" t="str">
        <f>IF(NOT(N943=27),"",IF(OR(ISBLANK(E923),ISBLANK(L923),ISBLANK(K924),ISBLANK(O924)),"O","P"))</f>
        <v/>
      </c>
      <c r="S926" s="108" t="str">
        <f>IF(NOT(N943=27),"","Address")</f>
        <v/>
      </c>
      <c r="T926" s="64"/>
    </row>
    <row r="927" spans="1:20" ht="15" thickBot="1" x14ac:dyDescent="0.25">
      <c r="A927" s="83"/>
      <c r="B927" s="410" t="s">
        <v>214</v>
      </c>
      <c r="C927" s="411"/>
      <c r="D927" s="412" t="str">
        <f>IF(NOT($N943=27),"",IF(ISERROR(LOOKUP(27,'Teacher Summary Sheet'!$M$19:$M$181)),"",IF(VLOOKUP(27,'Teacher Summary Sheet'!$M$19:$R$181,5)=0,"",VLOOKUP(27,'Teacher Summary Sheet'!$M$19:$R$181,5))))</f>
        <v/>
      </c>
      <c r="E927" s="413"/>
      <c r="F927" s="414" t="s">
        <v>319</v>
      </c>
      <c r="G927" s="415"/>
      <c r="H927" s="416"/>
      <c r="I927" s="417"/>
      <c r="J927" s="418"/>
      <c r="K927" s="414" t="s">
        <v>320</v>
      </c>
      <c r="L927" s="419"/>
      <c r="M927" s="419"/>
      <c r="N927" s="415"/>
      <c r="O927" s="405" t="s">
        <v>268</v>
      </c>
      <c r="P927" s="406"/>
      <c r="Q927" s="63"/>
      <c r="R927" s="124" t="str">
        <f>IF(NOT(N943=27),"",IF(OR(ISBLANK(F926),ISBLANK(I926),ISBLANK(L926)),"O","P"))</f>
        <v/>
      </c>
      <c r="S927" s="108" t="str">
        <f>IF(NOT(N943=27),"","Date of Birth")</f>
        <v/>
      </c>
      <c r="T927" s="64"/>
    </row>
    <row r="928" spans="1:20" ht="14.25" x14ac:dyDescent="0.2">
      <c r="A928" s="83"/>
      <c r="B928" s="522" t="s">
        <v>297</v>
      </c>
      <c r="C928" s="463"/>
      <c r="D928" s="463"/>
      <c r="E928" s="463"/>
      <c r="F928" s="463"/>
      <c r="G928" s="463"/>
      <c r="H928" s="463"/>
      <c r="I928" s="463"/>
      <c r="J928" s="463"/>
      <c r="K928" s="463"/>
      <c r="L928" s="463"/>
      <c r="M928" s="463"/>
      <c r="N928" s="463"/>
      <c r="O928" s="463"/>
      <c r="P928" s="464"/>
      <c r="Q928" s="63"/>
      <c r="R928" s="124" t="str">
        <f>IF(NOT(N943=27),"",IF(COUNTBLANK(J921:J921)=1,"O","P"))</f>
        <v/>
      </c>
      <c r="S928" s="112" t="str">
        <f>IF(NOT(N943=27),"","Exam Level")</f>
        <v/>
      </c>
      <c r="T928" s="64"/>
    </row>
    <row r="929" spans="1:20" ht="14.25" x14ac:dyDescent="0.2">
      <c r="A929" s="83"/>
      <c r="B929" s="465"/>
      <c r="C929" s="466"/>
      <c r="D929" s="466"/>
      <c r="E929" s="466"/>
      <c r="F929" s="466"/>
      <c r="G929" s="466"/>
      <c r="H929" s="466"/>
      <c r="I929" s="466"/>
      <c r="J929" s="466"/>
      <c r="K929" s="466"/>
      <c r="L929" s="466"/>
      <c r="M929" s="466"/>
      <c r="N929" s="466"/>
      <c r="O929" s="466"/>
      <c r="P929" s="467"/>
      <c r="Q929" s="63"/>
      <c r="R929" s="124" t="str">
        <f>IF(NOT(N943=27),"",IF(COUNTBLANK(D927:D927)=1,"O","P"))</f>
        <v/>
      </c>
      <c r="S929" s="109" t="str">
        <f>IF(NOT(N943=27),"","Gender")</f>
        <v/>
      </c>
      <c r="T929" s="64"/>
    </row>
    <row r="930" spans="1:20" ht="14.25" x14ac:dyDescent="0.2">
      <c r="A930" s="83"/>
      <c r="B930" s="432" t="s">
        <v>298</v>
      </c>
      <c r="C930" s="433"/>
      <c r="D930" s="434"/>
      <c r="E930" s="405"/>
      <c r="F930" s="406"/>
      <c r="G930" s="432" t="s">
        <v>299</v>
      </c>
      <c r="H930" s="433"/>
      <c r="I930" s="434"/>
      <c r="J930" s="405"/>
      <c r="K930" s="448"/>
      <c r="L930" s="406"/>
      <c r="M930" s="414" t="s">
        <v>300</v>
      </c>
      <c r="N930" s="415"/>
      <c r="O930" s="457"/>
      <c r="P930" s="458"/>
      <c r="Q930" s="63"/>
      <c r="R930" s="124" t="str">
        <f>IF(NOT(N943=27),"",IF(ISBLANK(H927),"O","P"))</f>
        <v/>
      </c>
      <c r="S930" s="109" t="str">
        <f>IF(NOT(N943=27),"","Height")</f>
        <v/>
      </c>
      <c r="T930" s="64"/>
    </row>
    <row r="931" spans="1:20" x14ac:dyDescent="0.2">
      <c r="A931" s="83"/>
      <c r="B931" s="77" t="s">
        <v>153</v>
      </c>
      <c r="C931" s="405"/>
      <c r="D931" s="406"/>
      <c r="E931" s="414" t="s">
        <v>301</v>
      </c>
      <c r="F931" s="415"/>
      <c r="G931" s="459"/>
      <c r="H931" s="460"/>
      <c r="I931" s="461"/>
      <c r="J931" s="414" t="s">
        <v>302</v>
      </c>
      <c r="K931" s="415"/>
      <c r="L931" s="454"/>
      <c r="M931" s="455"/>
      <c r="N931" s="455"/>
      <c r="O931" s="455"/>
      <c r="P931" s="456"/>
      <c r="Q931" s="63"/>
      <c r="R931" s="64"/>
      <c r="S931" s="64"/>
      <c r="T931" s="64"/>
    </row>
    <row r="932" spans="1:20" x14ac:dyDescent="0.2">
      <c r="A932" s="83"/>
      <c r="B932" s="410" t="s">
        <v>116</v>
      </c>
      <c r="C932" s="420"/>
      <c r="D932" s="420"/>
      <c r="E932" s="420"/>
      <c r="F932" s="420"/>
      <c r="G932" s="420"/>
      <c r="H932" s="420"/>
      <c r="I932" s="420"/>
      <c r="J932" s="420"/>
      <c r="K932" s="420"/>
      <c r="L932" s="420"/>
      <c r="M932" s="420"/>
      <c r="N932" s="420"/>
      <c r="O932" s="420"/>
      <c r="P932" s="411"/>
      <c r="Q932" s="63"/>
      <c r="R932" s="64"/>
      <c r="S932" s="64"/>
      <c r="T932" s="64"/>
    </row>
    <row r="933" spans="1:20" x14ac:dyDescent="0.2">
      <c r="A933" s="83"/>
      <c r="B933" s="410" t="s">
        <v>298</v>
      </c>
      <c r="C933" s="420"/>
      <c r="D933" s="411"/>
      <c r="E933" s="405"/>
      <c r="F933" s="406"/>
      <c r="G933" s="410" t="s">
        <v>299</v>
      </c>
      <c r="H933" s="420"/>
      <c r="I933" s="411"/>
      <c r="J933" s="454"/>
      <c r="K933" s="455"/>
      <c r="L933" s="456"/>
      <c r="M933" s="414" t="s">
        <v>300</v>
      </c>
      <c r="N933" s="415"/>
      <c r="O933" s="457"/>
      <c r="P933" s="458"/>
      <c r="Q933" s="63"/>
      <c r="R933" s="64"/>
    </row>
    <row r="934" spans="1:20" ht="13.5" thickBot="1" x14ac:dyDescent="0.25">
      <c r="A934" s="83"/>
      <c r="B934" s="78" t="s">
        <v>153</v>
      </c>
      <c r="C934" s="492"/>
      <c r="D934" s="493"/>
      <c r="E934" s="494" t="s">
        <v>301</v>
      </c>
      <c r="F934" s="495"/>
      <c r="G934" s="496"/>
      <c r="H934" s="497"/>
      <c r="I934" s="498"/>
      <c r="J934" s="414" t="s">
        <v>302</v>
      </c>
      <c r="K934" s="415"/>
      <c r="L934" s="454"/>
      <c r="M934" s="455"/>
      <c r="N934" s="455"/>
      <c r="O934" s="455"/>
      <c r="P934" s="456"/>
      <c r="Q934" s="63"/>
      <c r="R934" s="64"/>
    </row>
    <row r="935" spans="1:20" x14ac:dyDescent="0.2">
      <c r="A935" s="83"/>
      <c r="B935" s="499" t="s">
        <v>126</v>
      </c>
      <c r="C935" s="500"/>
      <c r="D935" s="500"/>
      <c r="E935" s="500"/>
      <c r="F935" s="500"/>
      <c r="G935" s="500"/>
      <c r="H935" s="500"/>
      <c r="I935" s="501"/>
      <c r="J935" s="505"/>
      <c r="K935" s="506"/>
      <c r="L935" s="506"/>
      <c r="M935" s="506"/>
      <c r="N935" s="506"/>
      <c r="O935" s="506"/>
      <c r="P935" s="507"/>
      <c r="Q935" s="63"/>
      <c r="R935" s="64"/>
    </row>
    <row r="936" spans="1:20" x14ac:dyDescent="0.2">
      <c r="A936" s="83"/>
      <c r="B936" s="502"/>
      <c r="C936" s="503"/>
      <c r="D936" s="503"/>
      <c r="E936" s="503"/>
      <c r="F936" s="503"/>
      <c r="G936" s="503"/>
      <c r="H936" s="503"/>
      <c r="I936" s="504"/>
      <c r="J936" s="508"/>
      <c r="K936" s="509"/>
      <c r="L936" s="509"/>
      <c r="M936" s="509"/>
      <c r="N936" s="509"/>
      <c r="O936" s="509"/>
      <c r="P936" s="510"/>
      <c r="Q936" s="63"/>
      <c r="R936" s="64"/>
    </row>
    <row r="937" spans="1:20" x14ac:dyDescent="0.2">
      <c r="A937" s="83"/>
      <c r="B937" s="514" t="s">
        <v>127</v>
      </c>
      <c r="C937" s="515"/>
      <c r="D937" s="515"/>
      <c r="E937" s="515"/>
      <c r="F937" s="515"/>
      <c r="G937" s="515"/>
      <c r="H937" s="515"/>
      <c r="I937" s="516"/>
      <c r="J937" s="508"/>
      <c r="K937" s="509"/>
      <c r="L937" s="509"/>
      <c r="M937" s="509"/>
      <c r="N937" s="509"/>
      <c r="O937" s="509"/>
      <c r="P937" s="510"/>
      <c r="Q937" s="63"/>
      <c r="R937" s="64"/>
    </row>
    <row r="938" spans="1:20" ht="13.5" thickBot="1" x14ac:dyDescent="0.25">
      <c r="A938" s="83"/>
      <c r="B938" s="517"/>
      <c r="C938" s="518"/>
      <c r="D938" s="518"/>
      <c r="E938" s="518"/>
      <c r="F938" s="518"/>
      <c r="G938" s="518"/>
      <c r="H938" s="518"/>
      <c r="I938" s="519"/>
      <c r="J938" s="511"/>
      <c r="K938" s="512"/>
      <c r="L938" s="512"/>
      <c r="M938" s="512"/>
      <c r="N938" s="512"/>
      <c r="O938" s="512"/>
      <c r="P938" s="513"/>
      <c r="Q938" s="63"/>
      <c r="R938" s="64"/>
    </row>
    <row r="939" spans="1:20" x14ac:dyDescent="0.2">
      <c r="A939" s="83"/>
      <c r="B939" s="480" t="s">
        <v>10</v>
      </c>
      <c r="C939" s="481"/>
      <c r="D939" s="481"/>
      <c r="E939" s="481"/>
      <c r="F939" s="481"/>
      <c r="G939" s="481"/>
      <c r="H939" s="481"/>
      <c r="I939" s="482"/>
      <c r="J939" s="79">
        <v>1</v>
      </c>
      <c r="K939" s="483"/>
      <c r="L939" s="484"/>
      <c r="M939" s="484"/>
      <c r="N939" s="484"/>
      <c r="O939" s="484"/>
      <c r="P939" s="485"/>
      <c r="Q939" s="63"/>
      <c r="R939" s="64"/>
    </row>
    <row r="940" spans="1:20" x14ac:dyDescent="0.2">
      <c r="A940" s="83"/>
      <c r="B940" s="486" t="s">
        <v>276</v>
      </c>
      <c r="C940" s="487"/>
      <c r="D940" s="487"/>
      <c r="E940" s="487"/>
      <c r="F940" s="487"/>
      <c r="G940" s="487"/>
      <c r="H940" s="487"/>
      <c r="I940" s="488"/>
      <c r="J940" s="80">
        <v>2</v>
      </c>
      <c r="K940" s="454"/>
      <c r="L940" s="455"/>
      <c r="M940" s="455"/>
      <c r="N940" s="455"/>
      <c r="O940" s="455"/>
      <c r="P940" s="456"/>
      <c r="Q940" s="63"/>
      <c r="R940" s="64"/>
    </row>
    <row r="941" spans="1:20" x14ac:dyDescent="0.2">
      <c r="A941" s="83"/>
      <c r="B941" s="489" t="s">
        <v>234</v>
      </c>
      <c r="C941" s="490"/>
      <c r="D941" s="490"/>
      <c r="E941" s="490"/>
      <c r="F941" s="490"/>
      <c r="G941" s="490"/>
      <c r="H941" s="490"/>
      <c r="I941" s="491"/>
      <c r="J941" s="80">
        <v>3</v>
      </c>
      <c r="K941" s="454"/>
      <c r="L941" s="455"/>
      <c r="M941" s="455"/>
      <c r="N941" s="455"/>
      <c r="O941" s="455"/>
      <c r="P941" s="456"/>
      <c r="Q941" s="63"/>
      <c r="R941" s="64"/>
    </row>
    <row r="942" spans="1:20" x14ac:dyDescent="0.2">
      <c r="A942" s="83"/>
      <c r="B942" s="468"/>
      <c r="C942" s="468"/>
      <c r="D942" s="468"/>
      <c r="E942" s="468"/>
      <c r="F942" s="468"/>
      <c r="G942" s="468"/>
      <c r="H942" s="468"/>
      <c r="I942" s="468"/>
      <c r="J942" s="468"/>
      <c r="K942" s="468"/>
      <c r="L942" s="468"/>
      <c r="M942" s="468"/>
      <c r="N942" s="468"/>
      <c r="O942" s="468"/>
      <c r="P942" s="468"/>
      <c r="Q942" s="63"/>
      <c r="R942" s="64"/>
    </row>
    <row r="943" spans="1:20" ht="12" customHeight="1" x14ac:dyDescent="0.2">
      <c r="A943" s="83"/>
      <c r="B943" s="469" t="s">
        <v>84</v>
      </c>
      <c r="C943" s="471" t="str">
        <f>IF(CODE(B943)=89,"This candidate would like to receive Special","This candidate would not like to receive Special")</f>
        <v>This candidate would like to receive Special</v>
      </c>
      <c r="D943" s="472"/>
      <c r="E943" s="472"/>
      <c r="F943" s="472"/>
      <c r="G943" s="472"/>
      <c r="H943" s="472"/>
      <c r="I943" s="473"/>
      <c r="J943" s="81"/>
      <c r="K943" s="474" t="s">
        <v>235</v>
      </c>
      <c r="L943" s="474"/>
      <c r="M943" s="475"/>
      <c r="N943" s="51" t="str">
        <f>IF($P$33&gt;=27,27,"")</f>
        <v/>
      </c>
      <c r="O943" s="62" t="s">
        <v>52</v>
      </c>
      <c r="P943" s="51" t="str">
        <f>IF($P$33&gt;=27,$P$33,"")</f>
        <v/>
      </c>
      <c r="Q943" s="63"/>
      <c r="R943" s="64"/>
    </row>
    <row r="944" spans="1:20" ht="12" customHeight="1" x14ac:dyDescent="0.2">
      <c r="A944" s="83"/>
      <c r="B944" s="470"/>
      <c r="C944" s="476" t="str">
        <f>IF(CODE(B943)=89,"Announcements and Bulletins from RAD Canada","Announcements and Bulletins from RAD Canada")</f>
        <v>Announcements and Bulletins from RAD Canada</v>
      </c>
      <c r="D944" s="477"/>
      <c r="E944" s="477"/>
      <c r="F944" s="477"/>
      <c r="G944" s="477"/>
      <c r="H944" s="477"/>
      <c r="I944" s="478"/>
      <c r="J944" s="479"/>
      <c r="K944" s="400"/>
      <c r="L944" s="400"/>
      <c r="M944" s="400"/>
      <c r="N944" s="400"/>
      <c r="O944" s="400"/>
      <c r="P944" s="400"/>
      <c r="Q944" s="63"/>
      <c r="R944" s="64"/>
    </row>
    <row r="945" spans="1:20" x14ac:dyDescent="0.2">
      <c r="A945" s="83"/>
      <c r="B945" s="400"/>
      <c r="C945" s="400"/>
      <c r="D945" s="400"/>
      <c r="E945" s="400"/>
      <c r="F945" s="400"/>
      <c r="G945" s="400"/>
      <c r="H945" s="400"/>
      <c r="I945" s="400"/>
      <c r="J945" s="400"/>
      <c r="K945" s="400"/>
      <c r="L945" s="400"/>
      <c r="M945" s="400"/>
      <c r="N945" s="400"/>
      <c r="O945" s="400"/>
      <c r="P945" s="400"/>
      <c r="Q945" s="63"/>
      <c r="R945" s="64"/>
    </row>
    <row r="946" spans="1:20" x14ac:dyDescent="0.2">
      <c r="A946" s="83"/>
      <c r="B946" s="62"/>
      <c r="C946" s="62"/>
      <c r="D946" s="62"/>
      <c r="E946" s="62"/>
      <c r="F946" s="62"/>
      <c r="G946" s="62"/>
      <c r="H946" s="62"/>
      <c r="I946" s="62"/>
      <c r="J946" s="62"/>
      <c r="K946" s="62"/>
      <c r="L946" s="62"/>
      <c r="M946" s="62"/>
      <c r="N946" s="62"/>
      <c r="O946" s="62"/>
      <c r="P946" s="62"/>
      <c r="Q946" s="63"/>
      <c r="R946" s="64"/>
    </row>
    <row r="947" spans="1:20" x14ac:dyDescent="0.2">
      <c r="A947" s="83"/>
      <c r="B947" s="401" t="s">
        <v>281</v>
      </c>
      <c r="C947" s="402"/>
      <c r="D947" s="402"/>
      <c r="E947" s="402"/>
      <c r="F947" s="402"/>
      <c r="G947" s="402"/>
      <c r="H947" s="62"/>
      <c r="I947" s="62"/>
      <c r="J947" s="62"/>
      <c r="K947" s="62"/>
      <c r="L947" s="62"/>
      <c r="M947" s="62"/>
      <c r="N947" s="62"/>
      <c r="O947" s="62"/>
      <c r="P947" s="62"/>
      <c r="Q947" s="63"/>
      <c r="R947" s="64"/>
    </row>
    <row r="948" spans="1:20" ht="15.75" x14ac:dyDescent="0.25">
      <c r="A948" s="83"/>
      <c r="B948" s="402"/>
      <c r="C948" s="402"/>
      <c r="D948" s="402"/>
      <c r="E948" s="402"/>
      <c r="F948" s="402"/>
      <c r="G948" s="402"/>
      <c r="H948" s="82"/>
      <c r="I948" s="403"/>
      <c r="J948" s="403"/>
      <c r="K948" s="403"/>
      <c r="L948" s="403"/>
      <c r="M948" s="403"/>
      <c r="N948" s="403"/>
      <c r="O948" s="403"/>
      <c r="P948" s="403"/>
      <c r="Q948" s="63"/>
      <c r="R948" s="64"/>
    </row>
    <row r="949" spans="1:20" x14ac:dyDescent="0.2">
      <c r="A949" s="83"/>
      <c r="B949" s="400"/>
      <c r="C949" s="400"/>
      <c r="D949" s="400"/>
      <c r="E949" s="400"/>
      <c r="F949" s="400"/>
      <c r="G949" s="400"/>
      <c r="H949" s="400"/>
      <c r="I949" s="400"/>
      <c r="J949" s="400"/>
      <c r="K949" s="400"/>
      <c r="L949" s="400"/>
      <c r="M949" s="403"/>
      <c r="N949" s="403"/>
      <c r="O949" s="403"/>
      <c r="P949" s="403"/>
      <c r="Q949" s="63"/>
      <c r="R949" s="64"/>
    </row>
    <row r="950" spans="1:20" x14ac:dyDescent="0.2">
      <c r="A950" s="83"/>
      <c r="B950" s="404" t="s">
        <v>260</v>
      </c>
      <c r="C950" s="404"/>
      <c r="D950" s="404"/>
      <c r="E950" s="404"/>
      <c r="F950" s="400"/>
      <c r="G950" s="400"/>
      <c r="H950" s="400"/>
      <c r="I950" s="400"/>
      <c r="J950" s="400"/>
      <c r="K950" s="400"/>
      <c r="L950" s="400"/>
      <c r="M950" s="403"/>
      <c r="N950" s="403"/>
      <c r="O950" s="403"/>
      <c r="P950" s="403"/>
      <c r="Q950" s="63"/>
      <c r="R950" s="64"/>
    </row>
    <row r="951" spans="1:20" x14ac:dyDescent="0.2">
      <c r="A951" s="83"/>
      <c r="B951" s="69"/>
      <c r="C951" s="324" t="s">
        <v>75</v>
      </c>
      <c r="D951" s="408"/>
      <c r="E951" s="409"/>
      <c r="F951" s="400"/>
      <c r="G951" s="400"/>
      <c r="H951" s="400"/>
      <c r="I951" s="400"/>
      <c r="J951" s="400"/>
      <c r="K951" s="400"/>
      <c r="L951" s="400"/>
      <c r="M951" s="70"/>
      <c r="N951" s="70"/>
      <c r="O951" s="70"/>
      <c r="P951" s="70"/>
      <c r="Q951" s="63"/>
      <c r="R951" s="64"/>
    </row>
    <row r="952" spans="1:20" x14ac:dyDescent="0.2">
      <c r="A952" s="83"/>
      <c r="B952" s="71"/>
      <c r="C952" s="324" t="s">
        <v>128</v>
      </c>
      <c r="D952" s="408"/>
      <c r="E952" s="409"/>
      <c r="F952" s="400"/>
      <c r="G952" s="400"/>
      <c r="H952" s="400"/>
      <c r="I952" s="400"/>
      <c r="J952" s="400"/>
      <c r="K952" s="400"/>
      <c r="L952" s="400"/>
      <c r="M952" s="407" t="s">
        <v>256</v>
      </c>
      <c r="N952" s="407"/>
      <c r="O952" s="407"/>
      <c r="P952" s="407"/>
      <c r="Q952" s="63"/>
      <c r="R952" s="64"/>
    </row>
    <row r="953" spans="1:20" x14ac:dyDescent="0.2">
      <c r="A953" s="83"/>
      <c r="B953" s="56"/>
      <c r="C953" s="324" t="s">
        <v>282</v>
      </c>
      <c r="D953" s="408"/>
      <c r="E953" s="409"/>
      <c r="F953" s="400"/>
      <c r="G953" s="400"/>
      <c r="H953" s="400"/>
      <c r="I953" s="400"/>
      <c r="J953" s="400"/>
      <c r="K953" s="400"/>
      <c r="L953" s="400"/>
      <c r="M953" s="407"/>
      <c r="N953" s="407"/>
      <c r="O953" s="407"/>
      <c r="P953" s="407"/>
      <c r="Q953" s="63"/>
      <c r="R953" s="64"/>
    </row>
    <row r="954" spans="1:20" x14ac:dyDescent="0.2">
      <c r="A954" s="83"/>
      <c r="B954" s="520"/>
      <c r="C954" s="520"/>
      <c r="D954" s="520"/>
      <c r="E954" s="520"/>
      <c r="F954" s="520"/>
      <c r="G954" s="520"/>
      <c r="H954" s="520"/>
      <c r="I954" s="520"/>
      <c r="J954" s="520"/>
      <c r="K954" s="520"/>
      <c r="L954" s="520"/>
      <c r="M954" s="520"/>
      <c r="N954" s="520"/>
      <c r="O954" s="520"/>
      <c r="P954" s="520"/>
      <c r="Q954" s="63"/>
      <c r="R954" s="64"/>
    </row>
    <row r="955" spans="1:20" x14ac:dyDescent="0.2">
      <c r="A955" s="83"/>
      <c r="B955" s="432" t="s">
        <v>117</v>
      </c>
      <c r="C955" s="433"/>
      <c r="D955" s="434"/>
      <c r="E955" s="442" t="str">
        <f>IF(AND($P$33&gt;=28,NOT(ISBLANK($E$10))),$E$10,"")</f>
        <v/>
      </c>
      <c r="F955" s="443"/>
      <c r="G955" s="444"/>
      <c r="H955" s="414" t="s">
        <v>124</v>
      </c>
      <c r="I955" s="415"/>
      <c r="J955" s="442" t="str">
        <f>IF(AND($P$33&gt;=28,NOT(ISBLANK($J$10))),$J$10,"")</f>
        <v/>
      </c>
      <c r="K955" s="443"/>
      <c r="L955" s="444"/>
      <c r="M955" s="414" t="s">
        <v>118</v>
      </c>
      <c r="N955" s="415"/>
      <c r="O955" s="430" t="str">
        <f>IF(AND($P$33&gt;=28,NOT(ISBLANK($O$10))),$O$10,"")</f>
        <v/>
      </c>
      <c r="P955" s="521"/>
      <c r="Q955" s="63"/>
      <c r="R955" s="545" t="s">
        <v>307</v>
      </c>
      <c r="S955" s="546"/>
      <c r="T955" s="547"/>
    </row>
    <row r="956" spans="1:20" x14ac:dyDescent="0.2">
      <c r="A956" s="83"/>
      <c r="B956" s="432" t="s">
        <v>240</v>
      </c>
      <c r="C956" s="433"/>
      <c r="D956" s="434"/>
      <c r="E956" s="435" t="str">
        <f>IF(NOT($N978=28),"",IF(ISERROR(LOOKUP(28,'Teacher Summary Sheet'!$M$19:$M$181)),"",IF(VLOOKUP(28,'Teacher Summary Sheet'!$M$19:$R$181,2)=0,"",VLOOKUP(28,'Teacher Summary Sheet'!$M$19:$R$181,2))))</f>
        <v/>
      </c>
      <c r="F956" s="436"/>
      <c r="G956" s="437"/>
      <c r="H956" s="438" t="s">
        <v>119</v>
      </c>
      <c r="I956" s="439"/>
      <c r="J956" s="102" t="str">
        <f>IF(NOT($N978=28),"",IF(ISERROR(LOOKUP(28,'Teacher Summary Sheet'!$M$19:$M$181)),"",IF(VLOOKUP(28,'Teacher Summary Sheet'!$M$19:$R$181,6)=0,"",VLOOKUP(28,'Teacher Summary Sheet'!$M$19:$R$181,6))))</f>
        <v/>
      </c>
      <c r="K956" s="414" t="s">
        <v>179</v>
      </c>
      <c r="L956" s="419"/>
      <c r="M956" s="415"/>
      <c r="N956" s="412" t="str">
        <f>IF(NOT($N978=28),"",IF(ISERROR(LOOKUP(28,'Teacher Summary Sheet'!$M$19:$M$181)),"",IF('Teacher Summary Sheet'!$F$31=0,"",'Teacher Summary Sheet'!$F$31)))</f>
        <v/>
      </c>
      <c r="O956" s="440"/>
      <c r="P956" s="413"/>
      <c r="Q956" s="63"/>
      <c r="R956" s="548"/>
      <c r="S956" s="549"/>
      <c r="T956" s="550"/>
    </row>
    <row r="957" spans="1:20" ht="14.25" x14ac:dyDescent="0.2">
      <c r="A957" s="83"/>
      <c r="B957" s="410" t="s">
        <v>241</v>
      </c>
      <c r="C957" s="420"/>
      <c r="D957" s="411"/>
      <c r="E957" s="421" t="str">
        <f>IF(NOT($N978=28),"",IF(ISERROR(LOOKUP(28,'Teacher Summary Sheet'!$M$19:$M$181)),"",IF(VLOOKUP(28,'Teacher Summary Sheet'!$M$19:$R$181,3)=0,"",VLOOKUP(28,'Teacher Summary Sheet'!$M$19:$R$181,3))))</f>
        <v/>
      </c>
      <c r="F957" s="422"/>
      <c r="G957" s="422"/>
      <c r="H957" s="422"/>
      <c r="I957" s="423"/>
      <c r="J957" s="414" t="s">
        <v>124</v>
      </c>
      <c r="K957" s="415"/>
      <c r="L957" s="424" t="str">
        <f>IF(NOT($N978=28),"",IF(ISERROR(LOOKUP(28,'Teacher Summary Sheet'!$M$19:$M$181)),"",IF(VLOOKUP(28,'Teacher Summary Sheet'!$M$19:$R$181,4)=0,"",VLOOKUP(28,'Teacher Summary Sheet'!$M$19:$R$181,4))))</f>
        <v/>
      </c>
      <c r="M957" s="425"/>
      <c r="N957" s="425"/>
      <c r="O957" s="425"/>
      <c r="P957" s="426"/>
      <c r="Q957" s="63"/>
      <c r="R957" s="125" t="str">
        <f>IF(NOT(N978=28),"",IF(COUNTIF(R959:R965,"P")=7,"P","O"))</f>
        <v/>
      </c>
      <c r="S957" s="110" t="str">
        <f>IF(NOT(N978=28),"",IF(COUNTIF(R959:R965,"P")=7,"Complete","Incomplete"))</f>
        <v/>
      </c>
      <c r="T957" s="111"/>
    </row>
    <row r="958" spans="1:20" x14ac:dyDescent="0.2">
      <c r="A958" s="83"/>
      <c r="B958" s="410" t="s">
        <v>120</v>
      </c>
      <c r="C958" s="420"/>
      <c r="D958" s="411"/>
      <c r="E958" s="427"/>
      <c r="F958" s="428"/>
      <c r="G958" s="428"/>
      <c r="H958" s="428"/>
      <c r="I958" s="428"/>
      <c r="J958" s="429"/>
      <c r="K958" s="62" t="s">
        <v>121</v>
      </c>
      <c r="L958" s="427"/>
      <c r="M958" s="428"/>
      <c r="N958" s="428"/>
      <c r="O958" s="428"/>
      <c r="P958" s="429"/>
      <c r="Q958" s="63"/>
    </row>
    <row r="959" spans="1:20" ht="14.25" x14ac:dyDescent="0.2">
      <c r="A959" s="83"/>
      <c r="B959" s="410" t="s">
        <v>196</v>
      </c>
      <c r="C959" s="420"/>
      <c r="D959" s="411"/>
      <c r="E959" s="427"/>
      <c r="F959" s="428"/>
      <c r="G959" s="428"/>
      <c r="H959" s="428"/>
      <c r="I959" s="429"/>
      <c r="J959" s="73" t="s">
        <v>197</v>
      </c>
      <c r="K959" s="405"/>
      <c r="L959" s="406"/>
      <c r="M959" s="414" t="s">
        <v>212</v>
      </c>
      <c r="N959" s="415"/>
      <c r="O959" s="405"/>
      <c r="P959" s="406"/>
      <c r="Q959" s="63"/>
      <c r="R959" s="124" t="str">
        <f>IF(NOT(N978=28),"",IF(OR(COUNTBLANK(E957:E957)=1,COUNTBLANK(L957:L957)=1),"O","P"))</f>
        <v/>
      </c>
      <c r="S959" s="108" t="str">
        <f>IF(NOT(N978=28),"","Candidate Name")</f>
        <v/>
      </c>
      <c r="T959" s="64"/>
    </row>
    <row r="960" spans="1:20" ht="14.25" x14ac:dyDescent="0.2">
      <c r="A960" s="83"/>
      <c r="B960" s="410" t="s">
        <v>198</v>
      </c>
      <c r="C960" s="420"/>
      <c r="D960" s="411"/>
      <c r="E960" s="454"/>
      <c r="F960" s="455"/>
      <c r="G960" s="455"/>
      <c r="H960" s="456"/>
      <c r="I960" s="74" t="s">
        <v>199</v>
      </c>
      <c r="J960" s="427"/>
      <c r="K960" s="428"/>
      <c r="L960" s="428"/>
      <c r="M960" s="428"/>
      <c r="N960" s="428"/>
      <c r="O960" s="428"/>
      <c r="P960" s="429"/>
      <c r="Q960" s="63"/>
      <c r="R960" s="124" t="str">
        <f>IF(NOT(N978=28),"",IF(COUNTBLANK(E956:E956)=1,"O","P"))</f>
        <v/>
      </c>
      <c r="S960" s="108" t="str">
        <f>IF(NOT(N978=28),"","Candidate ID")</f>
        <v/>
      </c>
      <c r="T960" s="64"/>
    </row>
    <row r="961" spans="1:20" ht="14.25" x14ac:dyDescent="0.2">
      <c r="A961" s="83"/>
      <c r="B961" s="410" t="s">
        <v>227</v>
      </c>
      <c r="C961" s="420"/>
      <c r="D961" s="411"/>
      <c r="E961" s="75" t="s">
        <v>218</v>
      </c>
      <c r="F961" s="405"/>
      <c r="G961" s="448"/>
      <c r="H961" s="75" t="s">
        <v>138</v>
      </c>
      <c r="I961" s="449"/>
      <c r="J961" s="450"/>
      <c r="K961" s="76" t="s">
        <v>139</v>
      </c>
      <c r="L961" s="451"/>
      <c r="M961" s="452"/>
      <c r="N961" s="76" t="s">
        <v>228</v>
      </c>
      <c r="O961" s="453" t="str">
        <f ca="1">IF(OR(ISBLANK(L961),ISBLANK(I961),ISBLANK(F961),COUNTBLANK(J956:J956)=1),"",IF(DATEDIF(DATE(L961,VLOOKUP(I961,data!$T$2:$U$13,2,FALSE),F961),IF(AND(TODAY()&lt;data!$AJ$12,TODAY()&gt;data!$AI$12),data!$AI$3,data!$AJ$3),"Y")&gt;=data!$AC$30,YEAR(TODAY())-L961,data!$AD$3))</f>
        <v/>
      </c>
      <c r="P961" s="413"/>
      <c r="Q961" s="63"/>
      <c r="R961" s="124" t="str">
        <f>IF(NOT(N978=28),"",IF(OR(ISBLANK(E958),ISBLANK(L958),ISBLANK(K959),ISBLANK(O959)),"O","P"))</f>
        <v/>
      </c>
      <c r="S961" s="108" t="str">
        <f>IF(NOT(N978=28),"","Address")</f>
        <v/>
      </c>
      <c r="T961" s="64"/>
    </row>
    <row r="962" spans="1:20" ht="15" thickBot="1" x14ac:dyDescent="0.25">
      <c r="A962" s="83"/>
      <c r="B962" s="410" t="s">
        <v>214</v>
      </c>
      <c r="C962" s="411"/>
      <c r="D962" s="412" t="str">
        <f>IF(NOT($N978=28),"",IF(ISERROR(LOOKUP(28,'Teacher Summary Sheet'!$M$19:$M$181)),"",IF(VLOOKUP(28,'Teacher Summary Sheet'!$M$19:$R$181,5)=0,"",VLOOKUP(28,'Teacher Summary Sheet'!$M$19:$R$181,5))))</f>
        <v/>
      </c>
      <c r="E962" s="413"/>
      <c r="F962" s="414" t="s">
        <v>319</v>
      </c>
      <c r="G962" s="415"/>
      <c r="H962" s="416"/>
      <c r="I962" s="417"/>
      <c r="J962" s="418"/>
      <c r="K962" s="414" t="s">
        <v>320</v>
      </c>
      <c r="L962" s="419"/>
      <c r="M962" s="419"/>
      <c r="N962" s="415"/>
      <c r="O962" s="405" t="s">
        <v>268</v>
      </c>
      <c r="P962" s="406"/>
      <c r="Q962" s="63"/>
      <c r="R962" s="124" t="str">
        <f>IF(NOT(N978=28),"",IF(OR(ISBLANK(F961),ISBLANK(I961),ISBLANK(L961)),"O","P"))</f>
        <v/>
      </c>
      <c r="S962" s="108" t="str">
        <f>IF(NOT(N978=28),"","Date of Birth")</f>
        <v/>
      </c>
      <c r="T962" s="64"/>
    </row>
    <row r="963" spans="1:20" ht="14.25" x14ac:dyDescent="0.2">
      <c r="A963" s="83"/>
      <c r="B963" s="522" t="s">
        <v>297</v>
      </c>
      <c r="C963" s="463"/>
      <c r="D963" s="463"/>
      <c r="E963" s="463"/>
      <c r="F963" s="463"/>
      <c r="G963" s="463"/>
      <c r="H963" s="463"/>
      <c r="I963" s="463"/>
      <c r="J963" s="463"/>
      <c r="K963" s="463"/>
      <c r="L963" s="463"/>
      <c r="M963" s="463"/>
      <c r="N963" s="463"/>
      <c r="O963" s="463"/>
      <c r="P963" s="464"/>
      <c r="Q963" s="63"/>
      <c r="R963" s="124" t="str">
        <f>IF(NOT(N978=28),"",IF(COUNTBLANK(J956:J956)=1,"O","P"))</f>
        <v/>
      </c>
      <c r="S963" s="112" t="str">
        <f>IF(NOT(N978=28),"","Exam Level")</f>
        <v/>
      </c>
      <c r="T963" s="64"/>
    </row>
    <row r="964" spans="1:20" ht="14.25" x14ac:dyDescent="0.2">
      <c r="A964" s="83"/>
      <c r="B964" s="465"/>
      <c r="C964" s="466"/>
      <c r="D964" s="466"/>
      <c r="E964" s="466"/>
      <c r="F964" s="466"/>
      <c r="G964" s="466"/>
      <c r="H964" s="466"/>
      <c r="I964" s="466"/>
      <c r="J964" s="466"/>
      <c r="K964" s="466"/>
      <c r="L964" s="466"/>
      <c r="M964" s="466"/>
      <c r="N964" s="466"/>
      <c r="O964" s="466"/>
      <c r="P964" s="467"/>
      <c r="Q964" s="63"/>
      <c r="R964" s="124" t="str">
        <f>IF(NOT(N978=28),"",IF(COUNTBLANK(D962:D962)=1,"O","P"))</f>
        <v/>
      </c>
      <c r="S964" s="109" t="str">
        <f>IF(NOT(N978=28),"","Gender")</f>
        <v/>
      </c>
      <c r="T964" s="64"/>
    </row>
    <row r="965" spans="1:20" ht="14.25" x14ac:dyDescent="0.2">
      <c r="A965" s="83"/>
      <c r="B965" s="432" t="s">
        <v>298</v>
      </c>
      <c r="C965" s="433"/>
      <c r="D965" s="434"/>
      <c r="E965" s="405"/>
      <c r="F965" s="406"/>
      <c r="G965" s="432" t="s">
        <v>299</v>
      </c>
      <c r="H965" s="433"/>
      <c r="I965" s="434"/>
      <c r="J965" s="405"/>
      <c r="K965" s="448"/>
      <c r="L965" s="406"/>
      <c r="M965" s="414" t="s">
        <v>300</v>
      </c>
      <c r="N965" s="415"/>
      <c r="O965" s="457"/>
      <c r="P965" s="458"/>
      <c r="Q965" s="63"/>
      <c r="R965" s="124" t="str">
        <f>IF(NOT(N978=28),"",IF(ISBLANK(H962),"O","P"))</f>
        <v/>
      </c>
      <c r="S965" s="109" t="str">
        <f>IF(NOT(N978=28),"","Height")</f>
        <v/>
      </c>
      <c r="T965" s="64"/>
    </row>
    <row r="966" spans="1:20" x14ac:dyDescent="0.2">
      <c r="A966" s="83"/>
      <c r="B966" s="77" t="s">
        <v>153</v>
      </c>
      <c r="C966" s="405"/>
      <c r="D966" s="406"/>
      <c r="E966" s="414" t="s">
        <v>301</v>
      </c>
      <c r="F966" s="415"/>
      <c r="G966" s="459"/>
      <c r="H966" s="460"/>
      <c r="I966" s="461"/>
      <c r="J966" s="414" t="s">
        <v>302</v>
      </c>
      <c r="K966" s="415"/>
      <c r="L966" s="454"/>
      <c r="M966" s="455"/>
      <c r="N966" s="455"/>
      <c r="O966" s="455"/>
      <c r="P966" s="456"/>
      <c r="Q966" s="63"/>
      <c r="R966" s="64"/>
      <c r="S966" s="64"/>
      <c r="T966" s="64"/>
    </row>
    <row r="967" spans="1:20" x14ac:dyDescent="0.2">
      <c r="A967" s="83"/>
      <c r="B967" s="410" t="s">
        <v>116</v>
      </c>
      <c r="C967" s="420"/>
      <c r="D967" s="420"/>
      <c r="E967" s="420"/>
      <c r="F967" s="420"/>
      <c r="G967" s="420"/>
      <c r="H967" s="420"/>
      <c r="I967" s="420"/>
      <c r="J967" s="420"/>
      <c r="K967" s="420"/>
      <c r="L967" s="420"/>
      <c r="M967" s="420"/>
      <c r="N967" s="420"/>
      <c r="O967" s="420"/>
      <c r="P967" s="411"/>
      <c r="Q967" s="63"/>
      <c r="R967" s="64"/>
      <c r="S967" s="64"/>
      <c r="T967" s="64"/>
    </row>
    <row r="968" spans="1:20" x14ac:dyDescent="0.2">
      <c r="A968" s="83"/>
      <c r="B968" s="410" t="s">
        <v>298</v>
      </c>
      <c r="C968" s="420"/>
      <c r="D968" s="411"/>
      <c r="E968" s="405"/>
      <c r="F968" s="406"/>
      <c r="G968" s="410" t="s">
        <v>299</v>
      </c>
      <c r="H968" s="420"/>
      <c r="I968" s="411"/>
      <c r="J968" s="454"/>
      <c r="K968" s="455"/>
      <c r="L968" s="456"/>
      <c r="M968" s="414" t="s">
        <v>300</v>
      </c>
      <c r="N968" s="415"/>
      <c r="O968" s="457"/>
      <c r="P968" s="458"/>
      <c r="Q968" s="63"/>
      <c r="R968" s="64"/>
    </row>
    <row r="969" spans="1:20" ht="13.5" thickBot="1" x14ac:dyDescent="0.25">
      <c r="A969" s="83"/>
      <c r="B969" s="78" t="s">
        <v>153</v>
      </c>
      <c r="C969" s="492"/>
      <c r="D969" s="493"/>
      <c r="E969" s="494" t="s">
        <v>301</v>
      </c>
      <c r="F969" s="495"/>
      <c r="G969" s="496"/>
      <c r="H969" s="497"/>
      <c r="I969" s="498"/>
      <c r="J969" s="414" t="s">
        <v>302</v>
      </c>
      <c r="K969" s="415"/>
      <c r="L969" s="454"/>
      <c r="M969" s="455"/>
      <c r="N969" s="455"/>
      <c r="O969" s="455"/>
      <c r="P969" s="456"/>
      <c r="Q969" s="63"/>
      <c r="R969" s="64"/>
    </row>
    <row r="970" spans="1:20" x14ac:dyDescent="0.2">
      <c r="A970" s="83"/>
      <c r="B970" s="499" t="s">
        <v>126</v>
      </c>
      <c r="C970" s="500"/>
      <c r="D970" s="500"/>
      <c r="E970" s="500"/>
      <c r="F970" s="500"/>
      <c r="G970" s="500"/>
      <c r="H970" s="500"/>
      <c r="I970" s="501"/>
      <c r="J970" s="505"/>
      <c r="K970" s="506"/>
      <c r="L970" s="506"/>
      <c r="M970" s="506"/>
      <c r="N970" s="506"/>
      <c r="O970" s="506"/>
      <c r="P970" s="507"/>
      <c r="Q970" s="63"/>
      <c r="R970" s="64"/>
    </row>
    <row r="971" spans="1:20" x14ac:dyDescent="0.2">
      <c r="A971" s="83"/>
      <c r="B971" s="502"/>
      <c r="C971" s="503"/>
      <c r="D971" s="503"/>
      <c r="E971" s="503"/>
      <c r="F971" s="503"/>
      <c r="G971" s="503"/>
      <c r="H971" s="503"/>
      <c r="I971" s="504"/>
      <c r="J971" s="508"/>
      <c r="K971" s="509"/>
      <c r="L971" s="509"/>
      <c r="M971" s="509"/>
      <c r="N971" s="509"/>
      <c r="O971" s="509"/>
      <c r="P971" s="510"/>
      <c r="Q971" s="63"/>
      <c r="R971" s="64"/>
    </row>
    <row r="972" spans="1:20" x14ac:dyDescent="0.2">
      <c r="A972" s="83"/>
      <c r="B972" s="514" t="s">
        <v>127</v>
      </c>
      <c r="C972" s="515"/>
      <c r="D972" s="515"/>
      <c r="E972" s="515"/>
      <c r="F972" s="515"/>
      <c r="G972" s="515"/>
      <c r="H972" s="515"/>
      <c r="I972" s="516"/>
      <c r="J972" s="508"/>
      <c r="K972" s="509"/>
      <c r="L972" s="509"/>
      <c r="M972" s="509"/>
      <c r="N972" s="509"/>
      <c r="O972" s="509"/>
      <c r="P972" s="510"/>
      <c r="Q972" s="63"/>
      <c r="R972" s="64"/>
    </row>
    <row r="973" spans="1:20" ht="13.5" thickBot="1" x14ac:dyDescent="0.25">
      <c r="A973" s="83"/>
      <c r="B973" s="517"/>
      <c r="C973" s="518"/>
      <c r="D973" s="518"/>
      <c r="E973" s="518"/>
      <c r="F973" s="518"/>
      <c r="G973" s="518"/>
      <c r="H973" s="518"/>
      <c r="I973" s="519"/>
      <c r="J973" s="511"/>
      <c r="K973" s="512"/>
      <c r="L973" s="512"/>
      <c r="M973" s="512"/>
      <c r="N973" s="512"/>
      <c r="O973" s="512"/>
      <c r="P973" s="513"/>
      <c r="Q973" s="63"/>
      <c r="R973" s="64"/>
    </row>
    <row r="974" spans="1:20" x14ac:dyDescent="0.2">
      <c r="A974" s="83"/>
      <c r="B974" s="480" t="s">
        <v>10</v>
      </c>
      <c r="C974" s="481"/>
      <c r="D974" s="481"/>
      <c r="E974" s="481"/>
      <c r="F974" s="481"/>
      <c r="G974" s="481"/>
      <c r="H974" s="481"/>
      <c r="I974" s="482"/>
      <c r="J974" s="79">
        <v>1</v>
      </c>
      <c r="K974" s="483"/>
      <c r="L974" s="484"/>
      <c r="M974" s="484"/>
      <c r="N974" s="484"/>
      <c r="O974" s="484"/>
      <c r="P974" s="485"/>
      <c r="Q974" s="63"/>
      <c r="R974" s="64"/>
    </row>
    <row r="975" spans="1:20" x14ac:dyDescent="0.2">
      <c r="A975" s="83"/>
      <c r="B975" s="486" t="s">
        <v>276</v>
      </c>
      <c r="C975" s="487"/>
      <c r="D975" s="487"/>
      <c r="E975" s="487"/>
      <c r="F975" s="487"/>
      <c r="G975" s="487"/>
      <c r="H975" s="487"/>
      <c r="I975" s="488"/>
      <c r="J975" s="80">
        <v>2</v>
      </c>
      <c r="K975" s="454"/>
      <c r="L975" s="455"/>
      <c r="M975" s="455"/>
      <c r="N975" s="455"/>
      <c r="O975" s="455"/>
      <c r="P975" s="456"/>
      <c r="Q975" s="63"/>
      <c r="R975" s="64"/>
    </row>
    <row r="976" spans="1:20" x14ac:dyDescent="0.2">
      <c r="A976" s="83"/>
      <c r="B976" s="489" t="s">
        <v>234</v>
      </c>
      <c r="C976" s="490"/>
      <c r="D976" s="490"/>
      <c r="E976" s="490"/>
      <c r="F976" s="490"/>
      <c r="G976" s="490"/>
      <c r="H976" s="490"/>
      <c r="I976" s="491"/>
      <c r="J976" s="80">
        <v>3</v>
      </c>
      <c r="K976" s="454"/>
      <c r="L976" s="455"/>
      <c r="M976" s="455"/>
      <c r="N976" s="455"/>
      <c r="O976" s="455"/>
      <c r="P976" s="456"/>
      <c r="Q976" s="63"/>
      <c r="R976" s="64"/>
    </row>
    <row r="977" spans="1:20" x14ac:dyDescent="0.2">
      <c r="A977" s="83"/>
      <c r="B977" s="468"/>
      <c r="C977" s="468"/>
      <c r="D977" s="468"/>
      <c r="E977" s="468"/>
      <c r="F977" s="468"/>
      <c r="G977" s="468"/>
      <c r="H977" s="468"/>
      <c r="I977" s="468"/>
      <c r="J977" s="468"/>
      <c r="K977" s="468"/>
      <c r="L977" s="468"/>
      <c r="M977" s="468"/>
      <c r="N977" s="468"/>
      <c r="O977" s="468"/>
      <c r="P977" s="468"/>
      <c r="Q977" s="63"/>
      <c r="R977" s="64"/>
    </row>
    <row r="978" spans="1:20" ht="12" customHeight="1" x14ac:dyDescent="0.2">
      <c r="A978" s="83"/>
      <c r="B978" s="469" t="s">
        <v>84</v>
      </c>
      <c r="C978" s="471" t="str">
        <f>IF(CODE(B978)=89,"This candidate would like to receive Special","This candidate would not like to receive Special")</f>
        <v>This candidate would like to receive Special</v>
      </c>
      <c r="D978" s="472"/>
      <c r="E978" s="472"/>
      <c r="F978" s="472"/>
      <c r="G978" s="472"/>
      <c r="H978" s="472"/>
      <c r="I978" s="473"/>
      <c r="J978" s="81"/>
      <c r="K978" s="474" t="s">
        <v>207</v>
      </c>
      <c r="L978" s="474"/>
      <c r="M978" s="475"/>
      <c r="N978" s="51" t="str">
        <f>IF($P$33&gt;=28,28,"")</f>
        <v/>
      </c>
      <c r="O978" s="62" t="s">
        <v>52</v>
      </c>
      <c r="P978" s="51" t="str">
        <f>IF($P$33&gt;=28,$P$33,"")</f>
        <v/>
      </c>
      <c r="Q978" s="63"/>
      <c r="R978" s="64"/>
    </row>
    <row r="979" spans="1:20" ht="12" customHeight="1" x14ac:dyDescent="0.2">
      <c r="A979" s="83"/>
      <c r="B979" s="470"/>
      <c r="C979" s="476" t="str">
        <f>IF(CODE(B978)=89,"Announcements and Bulletins from RAD Canada","Announcements and Bulletins from RAD Canada")</f>
        <v>Announcements and Bulletins from RAD Canada</v>
      </c>
      <c r="D979" s="477"/>
      <c r="E979" s="477"/>
      <c r="F979" s="477"/>
      <c r="G979" s="477"/>
      <c r="H979" s="477"/>
      <c r="I979" s="478"/>
      <c r="J979" s="479"/>
      <c r="K979" s="400"/>
      <c r="L979" s="400"/>
      <c r="M979" s="400"/>
      <c r="N979" s="400"/>
      <c r="O979" s="400"/>
      <c r="P979" s="400"/>
      <c r="Q979" s="63"/>
      <c r="R979" s="64"/>
    </row>
    <row r="980" spans="1:20" x14ac:dyDescent="0.2">
      <c r="A980" s="83"/>
      <c r="B980" s="400"/>
      <c r="C980" s="400"/>
      <c r="D980" s="400"/>
      <c r="E980" s="400"/>
      <c r="F980" s="400"/>
      <c r="G980" s="400"/>
      <c r="H980" s="400"/>
      <c r="I980" s="400"/>
      <c r="J980" s="400"/>
      <c r="K980" s="400"/>
      <c r="L980" s="400"/>
      <c r="M980" s="400"/>
      <c r="N980" s="400"/>
      <c r="O980" s="400"/>
      <c r="P980" s="400"/>
      <c r="Q980" s="63"/>
      <c r="R980" s="64"/>
    </row>
    <row r="981" spans="1:20" x14ac:dyDescent="0.2">
      <c r="A981" s="83"/>
      <c r="B981" s="62"/>
      <c r="C981" s="62"/>
      <c r="D981" s="62"/>
      <c r="E981" s="62"/>
      <c r="F981" s="62"/>
      <c r="G981" s="62"/>
      <c r="H981" s="62"/>
      <c r="I981" s="62"/>
      <c r="J981" s="62"/>
      <c r="K981" s="62"/>
      <c r="L981" s="62"/>
      <c r="M981" s="62"/>
      <c r="N981" s="62"/>
      <c r="O981" s="62"/>
      <c r="P981" s="62"/>
      <c r="Q981" s="63"/>
      <c r="R981" s="64"/>
    </row>
    <row r="982" spans="1:20" x14ac:dyDescent="0.2">
      <c r="A982" s="83"/>
      <c r="B982" s="401" t="s">
        <v>140</v>
      </c>
      <c r="C982" s="402"/>
      <c r="D982" s="402"/>
      <c r="E982" s="402"/>
      <c r="F982" s="402"/>
      <c r="G982" s="402"/>
      <c r="H982" s="62"/>
      <c r="I982" s="62"/>
      <c r="J982" s="62"/>
      <c r="K982" s="62"/>
      <c r="L982" s="62"/>
      <c r="M982" s="62"/>
      <c r="N982" s="62"/>
      <c r="O982" s="62"/>
      <c r="P982" s="62"/>
      <c r="Q982" s="63"/>
      <c r="R982" s="64"/>
    </row>
    <row r="983" spans="1:20" ht="15.75" x14ac:dyDescent="0.25">
      <c r="A983" s="83"/>
      <c r="B983" s="402"/>
      <c r="C983" s="402"/>
      <c r="D983" s="402"/>
      <c r="E983" s="402"/>
      <c r="F983" s="402"/>
      <c r="G983" s="402"/>
      <c r="H983" s="82"/>
      <c r="I983" s="403"/>
      <c r="J983" s="403"/>
      <c r="K983" s="403"/>
      <c r="L983" s="403"/>
      <c r="M983" s="403"/>
      <c r="N983" s="403"/>
      <c r="O983" s="403"/>
      <c r="P983" s="403"/>
      <c r="Q983" s="63"/>
      <c r="R983" s="64"/>
    </row>
    <row r="984" spans="1:20" x14ac:dyDescent="0.2">
      <c r="A984" s="83"/>
      <c r="B984" s="400"/>
      <c r="C984" s="400"/>
      <c r="D984" s="400"/>
      <c r="E984" s="400"/>
      <c r="F984" s="400"/>
      <c r="G984" s="400"/>
      <c r="H984" s="400"/>
      <c r="I984" s="400"/>
      <c r="J984" s="400"/>
      <c r="K984" s="400"/>
      <c r="L984" s="400"/>
      <c r="M984" s="403"/>
      <c r="N984" s="403"/>
      <c r="O984" s="403"/>
      <c r="P984" s="403"/>
      <c r="Q984" s="63"/>
      <c r="R984" s="64"/>
    </row>
    <row r="985" spans="1:20" x14ac:dyDescent="0.2">
      <c r="A985" s="83"/>
      <c r="B985" s="404" t="s">
        <v>260</v>
      </c>
      <c r="C985" s="404"/>
      <c r="D985" s="404"/>
      <c r="E985" s="404"/>
      <c r="F985" s="400"/>
      <c r="G985" s="400"/>
      <c r="H985" s="400"/>
      <c r="I985" s="400"/>
      <c r="J985" s="400"/>
      <c r="K985" s="400"/>
      <c r="L985" s="400"/>
      <c r="M985" s="403"/>
      <c r="N985" s="403"/>
      <c r="O985" s="403"/>
      <c r="P985" s="403"/>
      <c r="Q985" s="63"/>
      <c r="R985" s="64"/>
    </row>
    <row r="986" spans="1:20" x14ac:dyDescent="0.2">
      <c r="A986" s="83"/>
      <c r="B986" s="69"/>
      <c r="C986" s="324" t="s">
        <v>75</v>
      </c>
      <c r="D986" s="408"/>
      <c r="E986" s="409"/>
      <c r="F986" s="400"/>
      <c r="G986" s="400"/>
      <c r="H986" s="400"/>
      <c r="I986" s="400"/>
      <c r="J986" s="400"/>
      <c r="K986" s="400"/>
      <c r="L986" s="400"/>
      <c r="M986" s="70"/>
      <c r="N986" s="70"/>
      <c r="O986" s="70"/>
      <c r="P986" s="70"/>
      <c r="Q986" s="63"/>
      <c r="R986" s="64"/>
    </row>
    <row r="987" spans="1:20" x14ac:dyDescent="0.2">
      <c r="A987" s="83"/>
      <c r="B987" s="71"/>
      <c r="C987" s="324" t="s">
        <v>128</v>
      </c>
      <c r="D987" s="408"/>
      <c r="E987" s="409"/>
      <c r="F987" s="400"/>
      <c r="G987" s="400"/>
      <c r="H987" s="400"/>
      <c r="I987" s="400"/>
      <c r="J987" s="400"/>
      <c r="K987" s="400"/>
      <c r="L987" s="400"/>
      <c r="M987" s="407" t="s">
        <v>256</v>
      </c>
      <c r="N987" s="407"/>
      <c r="O987" s="407"/>
      <c r="P987" s="407"/>
      <c r="Q987" s="63"/>
      <c r="R987" s="64"/>
    </row>
    <row r="988" spans="1:20" x14ac:dyDescent="0.2">
      <c r="A988" s="83"/>
      <c r="B988" s="56"/>
      <c r="C988" s="324" t="s">
        <v>141</v>
      </c>
      <c r="D988" s="408"/>
      <c r="E988" s="409"/>
      <c r="F988" s="400"/>
      <c r="G988" s="400"/>
      <c r="H988" s="400"/>
      <c r="I988" s="400"/>
      <c r="J988" s="400"/>
      <c r="K988" s="400"/>
      <c r="L988" s="400"/>
      <c r="M988" s="407"/>
      <c r="N988" s="407"/>
      <c r="O988" s="407"/>
      <c r="P988" s="407"/>
      <c r="Q988" s="63"/>
      <c r="R988" s="64"/>
    </row>
    <row r="989" spans="1:20" x14ac:dyDescent="0.2">
      <c r="A989" s="83"/>
      <c r="B989" s="520"/>
      <c r="C989" s="520"/>
      <c r="D989" s="520"/>
      <c r="E989" s="520"/>
      <c r="F989" s="520"/>
      <c r="G989" s="520"/>
      <c r="H989" s="520"/>
      <c r="I989" s="520"/>
      <c r="J989" s="520"/>
      <c r="K989" s="520"/>
      <c r="L989" s="520"/>
      <c r="M989" s="520"/>
      <c r="N989" s="520"/>
      <c r="O989" s="520"/>
      <c r="P989" s="520"/>
      <c r="Q989" s="63"/>
      <c r="R989" s="64"/>
    </row>
    <row r="990" spans="1:20" x14ac:dyDescent="0.2">
      <c r="A990" s="83"/>
      <c r="B990" s="432" t="s">
        <v>117</v>
      </c>
      <c r="C990" s="433"/>
      <c r="D990" s="434"/>
      <c r="E990" s="442" t="str">
        <f>IF(AND($P$33&gt;=29,NOT(ISBLANK($E$10))),$E$10,"")</f>
        <v/>
      </c>
      <c r="F990" s="443"/>
      <c r="G990" s="444"/>
      <c r="H990" s="414" t="s">
        <v>124</v>
      </c>
      <c r="I990" s="415"/>
      <c r="J990" s="442" t="str">
        <f>IF(AND($P$33&gt;=29,NOT(ISBLANK($J$10))),$J$10,"")</f>
        <v/>
      </c>
      <c r="K990" s="443"/>
      <c r="L990" s="444"/>
      <c r="M990" s="414" t="s">
        <v>118</v>
      </c>
      <c r="N990" s="415"/>
      <c r="O990" s="430" t="str">
        <f>IF(AND($P$33&gt;=29,NOT(ISBLANK($O$10))),$O$10,"")</f>
        <v/>
      </c>
      <c r="P990" s="521"/>
      <c r="Q990" s="63"/>
      <c r="R990" s="545" t="s">
        <v>307</v>
      </c>
      <c r="S990" s="546"/>
      <c r="T990" s="547"/>
    </row>
    <row r="991" spans="1:20" x14ac:dyDescent="0.2">
      <c r="A991" s="83"/>
      <c r="B991" s="432" t="s">
        <v>240</v>
      </c>
      <c r="C991" s="433"/>
      <c r="D991" s="434"/>
      <c r="E991" s="435" t="str">
        <f>IF(NOT($N1013=29),"",IF(ISERROR(LOOKUP(29,'Teacher Summary Sheet'!$M$19:$M$181)),"",IF(VLOOKUP(29,'Teacher Summary Sheet'!$M$19:$R$181,2)=0,"",VLOOKUP(29,'Teacher Summary Sheet'!$M$19:$R$181,2))))</f>
        <v/>
      </c>
      <c r="F991" s="436"/>
      <c r="G991" s="437"/>
      <c r="H991" s="438" t="s">
        <v>119</v>
      </c>
      <c r="I991" s="439"/>
      <c r="J991" s="102" t="str">
        <f>IF(NOT($N1013=29),"",IF(ISERROR(LOOKUP(29,'Teacher Summary Sheet'!$M$19:$M$181)),"",IF(VLOOKUP(29,'Teacher Summary Sheet'!$M$19:$R$181,6)=0,"",VLOOKUP(29,'Teacher Summary Sheet'!$M$19:$R$181,6))))</f>
        <v/>
      </c>
      <c r="K991" s="414" t="s">
        <v>179</v>
      </c>
      <c r="L991" s="419"/>
      <c r="M991" s="415"/>
      <c r="N991" s="412" t="str">
        <f>IF(NOT($N1013=29),"",IF(ISERROR(LOOKUP(29,'Teacher Summary Sheet'!$M$19:$M$181)),"",IF('Teacher Summary Sheet'!$F$31=0,"",'Teacher Summary Sheet'!$F$31)))</f>
        <v/>
      </c>
      <c r="O991" s="440"/>
      <c r="P991" s="413"/>
      <c r="Q991" s="63"/>
      <c r="R991" s="548"/>
      <c r="S991" s="549"/>
      <c r="T991" s="550"/>
    </row>
    <row r="992" spans="1:20" ht="14.25" x14ac:dyDescent="0.2">
      <c r="A992" s="83"/>
      <c r="B992" s="410" t="s">
        <v>241</v>
      </c>
      <c r="C992" s="420"/>
      <c r="D992" s="411"/>
      <c r="E992" s="421" t="str">
        <f>IF(NOT($N1013=29),"",IF(ISERROR(LOOKUP(29,'Teacher Summary Sheet'!$M$19:$M$181)),"",IF(VLOOKUP(29,'Teacher Summary Sheet'!$M$19:$R$181,3)=0,"",VLOOKUP(29,'Teacher Summary Sheet'!$M$19:$R$181,3))))</f>
        <v/>
      </c>
      <c r="F992" s="422"/>
      <c r="G992" s="422"/>
      <c r="H992" s="422"/>
      <c r="I992" s="423"/>
      <c r="J992" s="414" t="s">
        <v>124</v>
      </c>
      <c r="K992" s="415"/>
      <c r="L992" s="424" t="str">
        <f>IF(NOT($N1013=29),"",IF(ISERROR(LOOKUP(29,'Teacher Summary Sheet'!$M$19:$M$181)),"",IF(VLOOKUP(29,'Teacher Summary Sheet'!$M$19:$R$181,4)=0,"",VLOOKUP(29,'Teacher Summary Sheet'!$M$19:$R$181,4))))</f>
        <v/>
      </c>
      <c r="M992" s="425"/>
      <c r="N992" s="425"/>
      <c r="O992" s="425"/>
      <c r="P992" s="426"/>
      <c r="Q992" s="63"/>
      <c r="R992" s="125" t="str">
        <f>IF(NOT(N1013=29),"",IF(COUNTIF(R994:R1000,"P")=7,"P","O"))</f>
        <v/>
      </c>
      <c r="S992" s="110" t="str">
        <f>IF(NOT(N1013=29),"",IF(COUNTIF(R994:R1000,"P")=7,"Complete","Incomplete"))</f>
        <v/>
      </c>
      <c r="T992" s="111"/>
    </row>
    <row r="993" spans="1:20" x14ac:dyDescent="0.2">
      <c r="A993" s="83"/>
      <c r="B993" s="410" t="s">
        <v>120</v>
      </c>
      <c r="C993" s="420"/>
      <c r="D993" s="411"/>
      <c r="E993" s="427"/>
      <c r="F993" s="428"/>
      <c r="G993" s="428"/>
      <c r="H993" s="428"/>
      <c r="I993" s="428"/>
      <c r="J993" s="429"/>
      <c r="K993" s="62" t="s">
        <v>121</v>
      </c>
      <c r="L993" s="427"/>
      <c r="M993" s="428"/>
      <c r="N993" s="428"/>
      <c r="O993" s="428"/>
      <c r="P993" s="429"/>
      <c r="Q993" s="63"/>
    </row>
    <row r="994" spans="1:20" ht="14.25" x14ac:dyDescent="0.2">
      <c r="A994" s="83"/>
      <c r="B994" s="410" t="s">
        <v>196</v>
      </c>
      <c r="C994" s="420"/>
      <c r="D994" s="411"/>
      <c r="E994" s="427"/>
      <c r="F994" s="428"/>
      <c r="G994" s="428"/>
      <c r="H994" s="428"/>
      <c r="I994" s="429"/>
      <c r="J994" s="73" t="s">
        <v>197</v>
      </c>
      <c r="K994" s="405"/>
      <c r="L994" s="406"/>
      <c r="M994" s="414" t="s">
        <v>212</v>
      </c>
      <c r="N994" s="415"/>
      <c r="O994" s="405"/>
      <c r="P994" s="406"/>
      <c r="Q994" s="63"/>
      <c r="R994" s="124" t="str">
        <f>IF(NOT(N1013=29),"",IF(OR(COUNTBLANK(E992:E992)=1,COUNTBLANK(L992:L992)=1),"O","P"))</f>
        <v/>
      </c>
      <c r="S994" s="108" t="str">
        <f>IF(NOT(N1013=29),"","Candidate Name")</f>
        <v/>
      </c>
      <c r="T994" s="64"/>
    </row>
    <row r="995" spans="1:20" ht="14.25" x14ac:dyDescent="0.2">
      <c r="A995" s="83"/>
      <c r="B995" s="410" t="s">
        <v>198</v>
      </c>
      <c r="C995" s="420"/>
      <c r="D995" s="411"/>
      <c r="E995" s="454"/>
      <c r="F995" s="455"/>
      <c r="G995" s="455"/>
      <c r="H995" s="456"/>
      <c r="I995" s="74" t="s">
        <v>199</v>
      </c>
      <c r="J995" s="427"/>
      <c r="K995" s="428"/>
      <c r="L995" s="428"/>
      <c r="M995" s="428"/>
      <c r="N995" s="428"/>
      <c r="O995" s="428"/>
      <c r="P995" s="429"/>
      <c r="Q995" s="63"/>
      <c r="R995" s="124" t="str">
        <f>IF(NOT(N1013=29),"",IF(COUNTBLANK(E991:E991)=1,"O","P"))</f>
        <v/>
      </c>
      <c r="S995" s="108" t="str">
        <f>IF(NOT(N1013=29),"","Candidate ID")</f>
        <v/>
      </c>
      <c r="T995" s="64"/>
    </row>
    <row r="996" spans="1:20" ht="14.25" x14ac:dyDescent="0.2">
      <c r="A996" s="83"/>
      <c r="B996" s="410" t="s">
        <v>227</v>
      </c>
      <c r="C996" s="420"/>
      <c r="D996" s="411"/>
      <c r="E996" s="75" t="s">
        <v>218</v>
      </c>
      <c r="F996" s="405"/>
      <c r="G996" s="448"/>
      <c r="H996" s="75" t="s">
        <v>138</v>
      </c>
      <c r="I996" s="449"/>
      <c r="J996" s="450"/>
      <c r="K996" s="76" t="s">
        <v>139</v>
      </c>
      <c r="L996" s="451"/>
      <c r="M996" s="452"/>
      <c r="N996" s="76" t="s">
        <v>228</v>
      </c>
      <c r="O996" s="453" t="str">
        <f ca="1">IF(OR(ISBLANK(L996),ISBLANK(I996),ISBLANK(F996),COUNTBLANK(J991:J991)=1),"",IF(DATEDIF(DATE(L996,VLOOKUP(I996,data!$T$2:$U$13,2,FALSE),F996),IF(AND(TODAY()&lt;data!$AJ$12,TODAY()&gt;data!$AI$12),data!$AI$3,data!$AJ$3),"Y")&gt;=data!$AC$31,YEAR(TODAY())-L996,data!$AD$3))</f>
        <v/>
      </c>
      <c r="P996" s="413"/>
      <c r="Q996" s="63"/>
      <c r="R996" s="124" t="str">
        <f>IF(NOT(N1013=29),"",IF(OR(ISBLANK(E993),ISBLANK(L993),ISBLANK(K994),ISBLANK(O994)),"O","P"))</f>
        <v/>
      </c>
      <c r="S996" s="108" t="str">
        <f>IF(NOT(N1013=29),"","Address")</f>
        <v/>
      </c>
      <c r="T996" s="64"/>
    </row>
    <row r="997" spans="1:20" ht="15" thickBot="1" x14ac:dyDescent="0.25">
      <c r="A997" s="83"/>
      <c r="B997" s="410" t="s">
        <v>214</v>
      </c>
      <c r="C997" s="411"/>
      <c r="D997" s="412" t="str">
        <f>IF(NOT($N1013=29),"",IF(ISERROR(LOOKUP(29,'Teacher Summary Sheet'!$M$19:$M$181)),"",IF(VLOOKUP(29,'Teacher Summary Sheet'!$M$19:$R$181,5)=0,"",VLOOKUP(29,'Teacher Summary Sheet'!$M$19:$R$181,5))))</f>
        <v/>
      </c>
      <c r="E997" s="413"/>
      <c r="F997" s="414" t="s">
        <v>319</v>
      </c>
      <c r="G997" s="415"/>
      <c r="H997" s="416"/>
      <c r="I997" s="417"/>
      <c r="J997" s="418"/>
      <c r="K997" s="414" t="s">
        <v>320</v>
      </c>
      <c r="L997" s="419"/>
      <c r="M997" s="419"/>
      <c r="N997" s="415"/>
      <c r="O997" s="405" t="s">
        <v>268</v>
      </c>
      <c r="P997" s="406"/>
      <c r="Q997" s="63"/>
      <c r="R997" s="124" t="str">
        <f>IF(NOT(N1013=29),"",IF(OR(ISBLANK(F996),ISBLANK(I996),ISBLANK(L996)),"O","P"))</f>
        <v/>
      </c>
      <c r="S997" s="108" t="str">
        <f>IF(NOT(N1013=29),"","Date of Birth")</f>
        <v/>
      </c>
      <c r="T997" s="64"/>
    </row>
    <row r="998" spans="1:20" ht="14.25" x14ac:dyDescent="0.2">
      <c r="A998" s="83"/>
      <c r="B998" s="522" t="s">
        <v>297</v>
      </c>
      <c r="C998" s="463"/>
      <c r="D998" s="463"/>
      <c r="E998" s="463"/>
      <c r="F998" s="463"/>
      <c r="G998" s="463"/>
      <c r="H998" s="463"/>
      <c r="I998" s="463"/>
      <c r="J998" s="463"/>
      <c r="K998" s="463"/>
      <c r="L998" s="463"/>
      <c r="M998" s="463"/>
      <c r="N998" s="463"/>
      <c r="O998" s="463"/>
      <c r="P998" s="464"/>
      <c r="Q998" s="63"/>
      <c r="R998" s="124" t="str">
        <f>IF(NOT(N1013=29),"",IF(COUNTBLANK(J991:J991)=1,"O","P"))</f>
        <v/>
      </c>
      <c r="S998" s="112" t="str">
        <f>IF(NOT(N1013=29),"","Exam Level")</f>
        <v/>
      </c>
      <c r="T998" s="64"/>
    </row>
    <row r="999" spans="1:20" ht="14.25" x14ac:dyDescent="0.2">
      <c r="A999" s="83"/>
      <c r="B999" s="465"/>
      <c r="C999" s="466"/>
      <c r="D999" s="466"/>
      <c r="E999" s="466"/>
      <c r="F999" s="466"/>
      <c r="G999" s="466"/>
      <c r="H999" s="466"/>
      <c r="I999" s="466"/>
      <c r="J999" s="466"/>
      <c r="K999" s="466"/>
      <c r="L999" s="466"/>
      <c r="M999" s="466"/>
      <c r="N999" s="466"/>
      <c r="O999" s="466"/>
      <c r="P999" s="467"/>
      <c r="Q999" s="63"/>
      <c r="R999" s="124" t="str">
        <f>IF(NOT(N1013=29),"",IF(COUNTBLANK(D997:D997)=1,"O","P"))</f>
        <v/>
      </c>
      <c r="S999" s="109" t="str">
        <f>IF(NOT(N1013=29),"","Gender")</f>
        <v/>
      </c>
      <c r="T999" s="64"/>
    </row>
    <row r="1000" spans="1:20" ht="14.25" x14ac:dyDescent="0.2">
      <c r="A1000" s="83"/>
      <c r="B1000" s="432" t="s">
        <v>298</v>
      </c>
      <c r="C1000" s="433"/>
      <c r="D1000" s="434"/>
      <c r="E1000" s="405"/>
      <c r="F1000" s="406"/>
      <c r="G1000" s="432" t="s">
        <v>299</v>
      </c>
      <c r="H1000" s="433"/>
      <c r="I1000" s="434"/>
      <c r="J1000" s="405"/>
      <c r="K1000" s="448"/>
      <c r="L1000" s="406"/>
      <c r="M1000" s="414" t="s">
        <v>300</v>
      </c>
      <c r="N1000" s="415"/>
      <c r="O1000" s="457"/>
      <c r="P1000" s="458"/>
      <c r="Q1000" s="63"/>
      <c r="R1000" s="124" t="str">
        <f>IF(NOT(N1013=29),"",IF(ISBLANK(H997),"O","P"))</f>
        <v/>
      </c>
      <c r="S1000" s="109" t="str">
        <f>IF(NOT(N1013=29),"","Height")</f>
        <v/>
      </c>
      <c r="T1000" s="64"/>
    </row>
    <row r="1001" spans="1:20" x14ac:dyDescent="0.2">
      <c r="A1001" s="83"/>
      <c r="B1001" s="77" t="s">
        <v>153</v>
      </c>
      <c r="C1001" s="405"/>
      <c r="D1001" s="406"/>
      <c r="E1001" s="414" t="s">
        <v>301</v>
      </c>
      <c r="F1001" s="415"/>
      <c r="G1001" s="459"/>
      <c r="H1001" s="460"/>
      <c r="I1001" s="461"/>
      <c r="J1001" s="414" t="s">
        <v>302</v>
      </c>
      <c r="K1001" s="415"/>
      <c r="L1001" s="454"/>
      <c r="M1001" s="455"/>
      <c r="N1001" s="455"/>
      <c r="O1001" s="455"/>
      <c r="P1001" s="456"/>
      <c r="Q1001" s="63"/>
      <c r="R1001" s="64"/>
      <c r="S1001" s="64"/>
      <c r="T1001" s="64"/>
    </row>
    <row r="1002" spans="1:20" x14ac:dyDescent="0.2">
      <c r="A1002" s="83"/>
      <c r="B1002" s="410" t="s">
        <v>116</v>
      </c>
      <c r="C1002" s="420"/>
      <c r="D1002" s="420"/>
      <c r="E1002" s="420"/>
      <c r="F1002" s="420"/>
      <c r="G1002" s="420"/>
      <c r="H1002" s="420"/>
      <c r="I1002" s="420"/>
      <c r="J1002" s="420"/>
      <c r="K1002" s="420"/>
      <c r="L1002" s="420"/>
      <c r="M1002" s="420"/>
      <c r="N1002" s="420"/>
      <c r="O1002" s="420"/>
      <c r="P1002" s="411"/>
      <c r="Q1002" s="63"/>
      <c r="R1002" s="64"/>
      <c r="S1002" s="64"/>
      <c r="T1002" s="64"/>
    </row>
    <row r="1003" spans="1:20" x14ac:dyDescent="0.2">
      <c r="A1003" s="83"/>
      <c r="B1003" s="410" t="s">
        <v>298</v>
      </c>
      <c r="C1003" s="420"/>
      <c r="D1003" s="411"/>
      <c r="E1003" s="405"/>
      <c r="F1003" s="406"/>
      <c r="G1003" s="410" t="s">
        <v>299</v>
      </c>
      <c r="H1003" s="420"/>
      <c r="I1003" s="411"/>
      <c r="J1003" s="454"/>
      <c r="K1003" s="455"/>
      <c r="L1003" s="456"/>
      <c r="M1003" s="414" t="s">
        <v>300</v>
      </c>
      <c r="N1003" s="415"/>
      <c r="O1003" s="457"/>
      <c r="P1003" s="458"/>
      <c r="Q1003" s="63"/>
      <c r="R1003" s="64"/>
    </row>
    <row r="1004" spans="1:20" ht="13.5" thickBot="1" x14ac:dyDescent="0.25">
      <c r="A1004" s="83"/>
      <c r="B1004" s="78" t="s">
        <v>153</v>
      </c>
      <c r="C1004" s="492"/>
      <c r="D1004" s="493"/>
      <c r="E1004" s="494" t="s">
        <v>301</v>
      </c>
      <c r="F1004" s="495"/>
      <c r="G1004" s="496"/>
      <c r="H1004" s="497"/>
      <c r="I1004" s="498"/>
      <c r="J1004" s="414" t="s">
        <v>302</v>
      </c>
      <c r="K1004" s="415"/>
      <c r="L1004" s="454"/>
      <c r="M1004" s="455"/>
      <c r="N1004" s="455"/>
      <c r="O1004" s="455"/>
      <c r="P1004" s="456"/>
      <c r="Q1004" s="63"/>
      <c r="R1004" s="64"/>
    </row>
    <row r="1005" spans="1:20" x14ac:dyDescent="0.2">
      <c r="A1005" s="83"/>
      <c r="B1005" s="499" t="s">
        <v>126</v>
      </c>
      <c r="C1005" s="500"/>
      <c r="D1005" s="500"/>
      <c r="E1005" s="500"/>
      <c r="F1005" s="500"/>
      <c r="G1005" s="500"/>
      <c r="H1005" s="500"/>
      <c r="I1005" s="501"/>
      <c r="J1005" s="505"/>
      <c r="K1005" s="506"/>
      <c r="L1005" s="506"/>
      <c r="M1005" s="506"/>
      <c r="N1005" s="506"/>
      <c r="O1005" s="506"/>
      <c r="P1005" s="507"/>
      <c r="Q1005" s="63"/>
      <c r="R1005" s="64"/>
    </row>
    <row r="1006" spans="1:20" x14ac:dyDescent="0.2">
      <c r="A1006" s="83"/>
      <c r="B1006" s="502"/>
      <c r="C1006" s="503"/>
      <c r="D1006" s="503"/>
      <c r="E1006" s="503"/>
      <c r="F1006" s="503"/>
      <c r="G1006" s="503"/>
      <c r="H1006" s="503"/>
      <c r="I1006" s="504"/>
      <c r="J1006" s="508"/>
      <c r="K1006" s="509"/>
      <c r="L1006" s="509"/>
      <c r="M1006" s="509"/>
      <c r="N1006" s="509"/>
      <c r="O1006" s="509"/>
      <c r="P1006" s="510"/>
      <c r="Q1006" s="63"/>
      <c r="R1006" s="64"/>
    </row>
    <row r="1007" spans="1:20" x14ac:dyDescent="0.2">
      <c r="A1007" s="83"/>
      <c r="B1007" s="514" t="s">
        <v>127</v>
      </c>
      <c r="C1007" s="515"/>
      <c r="D1007" s="515"/>
      <c r="E1007" s="515"/>
      <c r="F1007" s="515"/>
      <c r="G1007" s="515"/>
      <c r="H1007" s="515"/>
      <c r="I1007" s="516"/>
      <c r="J1007" s="508"/>
      <c r="K1007" s="509"/>
      <c r="L1007" s="509"/>
      <c r="M1007" s="509"/>
      <c r="N1007" s="509"/>
      <c r="O1007" s="509"/>
      <c r="P1007" s="510"/>
      <c r="Q1007" s="63"/>
      <c r="R1007" s="64"/>
    </row>
    <row r="1008" spans="1:20" ht="13.5" thickBot="1" x14ac:dyDescent="0.25">
      <c r="A1008" s="83"/>
      <c r="B1008" s="517"/>
      <c r="C1008" s="518"/>
      <c r="D1008" s="518"/>
      <c r="E1008" s="518"/>
      <c r="F1008" s="518"/>
      <c r="G1008" s="518"/>
      <c r="H1008" s="518"/>
      <c r="I1008" s="519"/>
      <c r="J1008" s="511"/>
      <c r="K1008" s="512"/>
      <c r="L1008" s="512"/>
      <c r="M1008" s="512"/>
      <c r="N1008" s="512"/>
      <c r="O1008" s="512"/>
      <c r="P1008" s="513"/>
      <c r="Q1008" s="63"/>
      <c r="R1008" s="64"/>
    </row>
    <row r="1009" spans="1:18" x14ac:dyDescent="0.2">
      <c r="A1009" s="83"/>
      <c r="B1009" s="480" t="s">
        <v>10</v>
      </c>
      <c r="C1009" s="481"/>
      <c r="D1009" s="481"/>
      <c r="E1009" s="481"/>
      <c r="F1009" s="481"/>
      <c r="G1009" s="481"/>
      <c r="H1009" s="481"/>
      <c r="I1009" s="482"/>
      <c r="J1009" s="79">
        <v>1</v>
      </c>
      <c r="K1009" s="483"/>
      <c r="L1009" s="484"/>
      <c r="M1009" s="484"/>
      <c r="N1009" s="484"/>
      <c r="O1009" s="484"/>
      <c r="P1009" s="485"/>
      <c r="Q1009" s="63"/>
      <c r="R1009" s="64"/>
    </row>
    <row r="1010" spans="1:18" x14ac:dyDescent="0.2">
      <c r="A1010" s="83"/>
      <c r="B1010" s="486" t="s">
        <v>276</v>
      </c>
      <c r="C1010" s="487"/>
      <c r="D1010" s="487"/>
      <c r="E1010" s="487"/>
      <c r="F1010" s="487"/>
      <c r="G1010" s="487"/>
      <c r="H1010" s="487"/>
      <c r="I1010" s="488"/>
      <c r="J1010" s="80">
        <v>2</v>
      </c>
      <c r="K1010" s="454"/>
      <c r="L1010" s="455"/>
      <c r="M1010" s="455"/>
      <c r="N1010" s="455"/>
      <c r="O1010" s="455"/>
      <c r="P1010" s="456"/>
      <c r="Q1010" s="63"/>
      <c r="R1010" s="64"/>
    </row>
    <row r="1011" spans="1:18" x14ac:dyDescent="0.2">
      <c r="A1011" s="83"/>
      <c r="B1011" s="489" t="s">
        <v>234</v>
      </c>
      <c r="C1011" s="490"/>
      <c r="D1011" s="490"/>
      <c r="E1011" s="490"/>
      <c r="F1011" s="490"/>
      <c r="G1011" s="490"/>
      <c r="H1011" s="490"/>
      <c r="I1011" s="491"/>
      <c r="J1011" s="80">
        <v>3</v>
      </c>
      <c r="K1011" s="454"/>
      <c r="L1011" s="455"/>
      <c r="M1011" s="455"/>
      <c r="N1011" s="455"/>
      <c r="O1011" s="455"/>
      <c r="P1011" s="456"/>
      <c r="Q1011" s="63"/>
      <c r="R1011" s="64"/>
    </row>
    <row r="1012" spans="1:18" x14ac:dyDescent="0.2">
      <c r="A1012" s="83"/>
      <c r="B1012" s="468"/>
      <c r="C1012" s="468"/>
      <c r="D1012" s="468"/>
      <c r="E1012" s="468"/>
      <c r="F1012" s="468"/>
      <c r="G1012" s="468"/>
      <c r="H1012" s="468"/>
      <c r="I1012" s="468"/>
      <c r="J1012" s="468"/>
      <c r="K1012" s="468"/>
      <c r="L1012" s="468"/>
      <c r="M1012" s="468"/>
      <c r="N1012" s="468"/>
      <c r="O1012" s="468"/>
      <c r="P1012" s="468"/>
      <c r="Q1012" s="63"/>
      <c r="R1012" s="64"/>
    </row>
    <row r="1013" spans="1:18" ht="12" customHeight="1" x14ac:dyDescent="0.2">
      <c r="A1013" s="83"/>
      <c r="B1013" s="469" t="s">
        <v>84</v>
      </c>
      <c r="C1013" s="471" t="str">
        <f>IF(CODE(B1013)=89,"This candidate would like to receive Special","This candidate would not like to receive Special")</f>
        <v>This candidate would like to receive Special</v>
      </c>
      <c r="D1013" s="472"/>
      <c r="E1013" s="472"/>
      <c r="F1013" s="472"/>
      <c r="G1013" s="472"/>
      <c r="H1013" s="472"/>
      <c r="I1013" s="473"/>
      <c r="J1013" s="81"/>
      <c r="K1013" s="474" t="s">
        <v>207</v>
      </c>
      <c r="L1013" s="474"/>
      <c r="M1013" s="475"/>
      <c r="N1013" s="51" t="str">
        <f>IF($P$33&gt;=29,29,"")</f>
        <v/>
      </c>
      <c r="O1013" s="62" t="s">
        <v>52</v>
      </c>
      <c r="P1013" s="51" t="str">
        <f>IF($P$33&gt;=29,$P$33,"")</f>
        <v/>
      </c>
      <c r="Q1013" s="63"/>
      <c r="R1013" s="64"/>
    </row>
    <row r="1014" spans="1:18" ht="12" customHeight="1" x14ac:dyDescent="0.2">
      <c r="A1014" s="83"/>
      <c r="B1014" s="470"/>
      <c r="C1014" s="476" t="str">
        <f>IF(CODE(B1013)=89,"Announcements and Bulletins from RAD Canada","Announcements and Bulletins from RAD Canada")</f>
        <v>Announcements and Bulletins from RAD Canada</v>
      </c>
      <c r="D1014" s="477"/>
      <c r="E1014" s="477"/>
      <c r="F1014" s="477"/>
      <c r="G1014" s="477"/>
      <c r="H1014" s="477"/>
      <c r="I1014" s="478"/>
      <c r="J1014" s="479"/>
      <c r="K1014" s="400"/>
      <c r="L1014" s="400"/>
      <c r="M1014" s="400"/>
      <c r="N1014" s="400"/>
      <c r="O1014" s="400"/>
      <c r="P1014" s="400"/>
      <c r="Q1014" s="63"/>
      <c r="R1014" s="64"/>
    </row>
    <row r="1015" spans="1:18" x14ac:dyDescent="0.2">
      <c r="A1015" s="83"/>
      <c r="B1015" s="400"/>
      <c r="C1015" s="400"/>
      <c r="D1015" s="400"/>
      <c r="E1015" s="400"/>
      <c r="F1015" s="400"/>
      <c r="G1015" s="400"/>
      <c r="H1015" s="400"/>
      <c r="I1015" s="400"/>
      <c r="J1015" s="400"/>
      <c r="K1015" s="400"/>
      <c r="L1015" s="400"/>
      <c r="M1015" s="400"/>
      <c r="N1015" s="400"/>
      <c r="O1015" s="400"/>
      <c r="P1015" s="400"/>
      <c r="Q1015" s="63"/>
      <c r="R1015" s="64"/>
    </row>
    <row r="1016" spans="1:18" x14ac:dyDescent="0.2">
      <c r="A1016" s="83"/>
      <c r="B1016" s="62"/>
      <c r="C1016" s="62"/>
      <c r="D1016" s="62"/>
      <c r="E1016" s="62"/>
      <c r="F1016" s="62"/>
      <c r="G1016" s="62"/>
      <c r="H1016" s="62"/>
      <c r="I1016" s="62"/>
      <c r="J1016" s="62"/>
      <c r="K1016" s="62"/>
      <c r="L1016" s="62"/>
      <c r="M1016" s="62"/>
      <c r="N1016" s="62"/>
      <c r="O1016" s="62"/>
      <c r="P1016" s="62"/>
      <c r="Q1016" s="63"/>
      <c r="R1016" s="64"/>
    </row>
    <row r="1017" spans="1:18" x14ac:dyDescent="0.2">
      <c r="A1017" s="83"/>
      <c r="B1017" s="401" t="s">
        <v>140</v>
      </c>
      <c r="C1017" s="402"/>
      <c r="D1017" s="402"/>
      <c r="E1017" s="402"/>
      <c r="F1017" s="402"/>
      <c r="G1017" s="402"/>
      <c r="H1017" s="62"/>
      <c r="I1017" s="62"/>
      <c r="J1017" s="62"/>
      <c r="K1017" s="62"/>
      <c r="L1017" s="62"/>
      <c r="M1017" s="62"/>
      <c r="N1017" s="62"/>
      <c r="O1017" s="62"/>
      <c r="P1017" s="62"/>
      <c r="Q1017" s="63"/>
      <c r="R1017" s="64"/>
    </row>
    <row r="1018" spans="1:18" ht="15.75" x14ac:dyDescent="0.25">
      <c r="A1018" s="83"/>
      <c r="B1018" s="402"/>
      <c r="C1018" s="402"/>
      <c r="D1018" s="402"/>
      <c r="E1018" s="402"/>
      <c r="F1018" s="402"/>
      <c r="G1018" s="402"/>
      <c r="H1018" s="82"/>
      <c r="I1018" s="403"/>
      <c r="J1018" s="403"/>
      <c r="K1018" s="403"/>
      <c r="L1018" s="403"/>
      <c r="M1018" s="403"/>
      <c r="N1018" s="403"/>
      <c r="O1018" s="403"/>
      <c r="P1018" s="403"/>
      <c r="Q1018" s="63"/>
      <c r="R1018" s="64"/>
    </row>
    <row r="1019" spans="1:18" x14ac:dyDescent="0.2">
      <c r="A1019" s="83"/>
      <c r="B1019" s="400"/>
      <c r="C1019" s="400"/>
      <c r="D1019" s="400"/>
      <c r="E1019" s="400"/>
      <c r="F1019" s="400"/>
      <c r="G1019" s="400"/>
      <c r="H1019" s="400"/>
      <c r="I1019" s="400"/>
      <c r="J1019" s="400"/>
      <c r="K1019" s="400"/>
      <c r="L1019" s="400"/>
      <c r="M1019" s="403"/>
      <c r="N1019" s="403"/>
      <c r="O1019" s="403"/>
      <c r="P1019" s="403"/>
      <c r="Q1019" s="63"/>
      <c r="R1019" s="64"/>
    </row>
    <row r="1020" spans="1:18" x14ac:dyDescent="0.2">
      <c r="A1020" s="83"/>
      <c r="B1020" s="404" t="s">
        <v>260</v>
      </c>
      <c r="C1020" s="404"/>
      <c r="D1020" s="404"/>
      <c r="E1020" s="404"/>
      <c r="F1020" s="400"/>
      <c r="G1020" s="400"/>
      <c r="H1020" s="400"/>
      <c r="I1020" s="400"/>
      <c r="J1020" s="400"/>
      <c r="K1020" s="400"/>
      <c r="L1020" s="400"/>
      <c r="M1020" s="403"/>
      <c r="N1020" s="403"/>
      <c r="O1020" s="403"/>
      <c r="P1020" s="403"/>
      <c r="Q1020" s="63"/>
      <c r="R1020" s="64"/>
    </row>
    <row r="1021" spans="1:18" x14ac:dyDescent="0.2">
      <c r="A1021" s="83"/>
      <c r="B1021" s="69"/>
      <c r="C1021" s="324" t="s">
        <v>75</v>
      </c>
      <c r="D1021" s="408"/>
      <c r="E1021" s="409"/>
      <c r="F1021" s="400"/>
      <c r="G1021" s="400"/>
      <c r="H1021" s="400"/>
      <c r="I1021" s="400"/>
      <c r="J1021" s="400"/>
      <c r="K1021" s="400"/>
      <c r="L1021" s="400"/>
      <c r="M1021" s="70"/>
      <c r="N1021" s="70"/>
      <c r="O1021" s="70"/>
      <c r="P1021" s="70"/>
      <c r="Q1021" s="63"/>
      <c r="R1021" s="64"/>
    </row>
    <row r="1022" spans="1:18" x14ac:dyDescent="0.2">
      <c r="A1022" s="83"/>
      <c r="B1022" s="71"/>
      <c r="C1022" s="324" t="s">
        <v>128</v>
      </c>
      <c r="D1022" s="408"/>
      <c r="E1022" s="409"/>
      <c r="F1022" s="400"/>
      <c r="G1022" s="400"/>
      <c r="H1022" s="400"/>
      <c r="I1022" s="400"/>
      <c r="J1022" s="400"/>
      <c r="K1022" s="400"/>
      <c r="L1022" s="400"/>
      <c r="M1022" s="407" t="s">
        <v>256</v>
      </c>
      <c r="N1022" s="407"/>
      <c r="O1022" s="407"/>
      <c r="P1022" s="407"/>
      <c r="Q1022" s="63"/>
      <c r="R1022" s="64"/>
    </row>
    <row r="1023" spans="1:18" x14ac:dyDescent="0.2">
      <c r="A1023" s="83"/>
      <c r="B1023" s="56"/>
      <c r="C1023" s="324" t="s">
        <v>141</v>
      </c>
      <c r="D1023" s="408"/>
      <c r="E1023" s="409"/>
      <c r="F1023" s="400"/>
      <c r="G1023" s="400"/>
      <c r="H1023" s="400"/>
      <c r="I1023" s="400"/>
      <c r="J1023" s="400"/>
      <c r="K1023" s="400"/>
      <c r="L1023" s="400"/>
      <c r="M1023" s="407"/>
      <c r="N1023" s="407"/>
      <c r="O1023" s="407"/>
      <c r="P1023" s="407"/>
      <c r="Q1023" s="63"/>
      <c r="R1023" s="64"/>
    </row>
    <row r="1024" spans="1:18" x14ac:dyDescent="0.2">
      <c r="A1024" s="83"/>
      <c r="B1024" s="520"/>
      <c r="C1024" s="520"/>
      <c r="D1024" s="520"/>
      <c r="E1024" s="520"/>
      <c r="F1024" s="520"/>
      <c r="G1024" s="520"/>
      <c r="H1024" s="520"/>
      <c r="I1024" s="520"/>
      <c r="J1024" s="520"/>
      <c r="K1024" s="520"/>
      <c r="L1024" s="520"/>
      <c r="M1024" s="520"/>
      <c r="N1024" s="520"/>
      <c r="O1024" s="520"/>
      <c r="P1024" s="520"/>
      <c r="Q1024" s="63"/>
      <c r="R1024" s="64"/>
    </row>
    <row r="1025" spans="1:20" x14ac:dyDescent="0.2">
      <c r="A1025" s="83"/>
      <c r="B1025" s="432" t="s">
        <v>117</v>
      </c>
      <c r="C1025" s="433"/>
      <c r="D1025" s="434"/>
      <c r="E1025" s="442" t="str">
        <f>IF(AND($P$33&gt;=30,NOT(ISBLANK($E$10))),$E$10,"")</f>
        <v/>
      </c>
      <c r="F1025" s="443"/>
      <c r="G1025" s="444"/>
      <c r="H1025" s="414" t="s">
        <v>124</v>
      </c>
      <c r="I1025" s="415"/>
      <c r="J1025" s="442" t="str">
        <f>IF(AND($P$33&gt;=30,NOT(ISBLANK($J$10))),$J$10,"")</f>
        <v/>
      </c>
      <c r="K1025" s="443"/>
      <c r="L1025" s="444"/>
      <c r="M1025" s="414" t="s">
        <v>118</v>
      </c>
      <c r="N1025" s="415"/>
      <c r="O1025" s="430" t="str">
        <f>IF(AND($P$33&gt;=30,NOT(ISBLANK($O$10))),$O$10,"")</f>
        <v/>
      </c>
      <c r="P1025" s="521"/>
      <c r="Q1025" s="63"/>
      <c r="R1025" s="545" t="s">
        <v>307</v>
      </c>
      <c r="S1025" s="546"/>
      <c r="T1025" s="547"/>
    </row>
    <row r="1026" spans="1:20" x14ac:dyDescent="0.2">
      <c r="A1026" s="83"/>
      <c r="B1026" s="432" t="s">
        <v>240</v>
      </c>
      <c r="C1026" s="433"/>
      <c r="D1026" s="434"/>
      <c r="E1026" s="435" t="str">
        <f>IF(NOT($N1048=30),"",IF(ISERROR(LOOKUP(30,'Teacher Summary Sheet'!$M$19:$M$181)),"",IF(VLOOKUP(30,'Teacher Summary Sheet'!$M$19:$R$181,2)=0,"",VLOOKUP(30,'Teacher Summary Sheet'!$M$19:$R$181,2))))</f>
        <v/>
      </c>
      <c r="F1026" s="436"/>
      <c r="G1026" s="437"/>
      <c r="H1026" s="438" t="s">
        <v>119</v>
      </c>
      <c r="I1026" s="439"/>
      <c r="J1026" s="102" t="str">
        <f>IF(NOT($N1048=30),"",IF(ISERROR(LOOKUP(30,'Teacher Summary Sheet'!$M$19:$M$181)),"",IF(VLOOKUP(30,'Teacher Summary Sheet'!$M$19:$R$181,6)=0,"",VLOOKUP(30,'Teacher Summary Sheet'!$M$19:$R$181,6))))</f>
        <v/>
      </c>
      <c r="K1026" s="414" t="s">
        <v>179</v>
      </c>
      <c r="L1026" s="419"/>
      <c r="M1026" s="415"/>
      <c r="N1026" s="412" t="str">
        <f>IF(NOT($N1048=30),"",IF(ISERROR(LOOKUP(30,'Teacher Summary Sheet'!$M$19:$M$181)),"",IF('Teacher Summary Sheet'!$F$31=0,"",'Teacher Summary Sheet'!$F$31)))</f>
        <v/>
      </c>
      <c r="O1026" s="440"/>
      <c r="P1026" s="413"/>
      <c r="Q1026" s="63"/>
      <c r="R1026" s="548"/>
      <c r="S1026" s="549"/>
      <c r="T1026" s="550"/>
    </row>
    <row r="1027" spans="1:20" ht="14.25" x14ac:dyDescent="0.2">
      <c r="A1027" s="83"/>
      <c r="B1027" s="410" t="s">
        <v>241</v>
      </c>
      <c r="C1027" s="420"/>
      <c r="D1027" s="411"/>
      <c r="E1027" s="421" t="str">
        <f>IF(NOT($N1048=30),"",IF(ISERROR(LOOKUP(30,'Teacher Summary Sheet'!$M$19:$M$181)),"",IF(VLOOKUP(30,'Teacher Summary Sheet'!$M$19:$R$181,3)=0,"",VLOOKUP(30,'Teacher Summary Sheet'!$M$19:$R$181,3))))</f>
        <v/>
      </c>
      <c r="F1027" s="422"/>
      <c r="G1027" s="422"/>
      <c r="H1027" s="422"/>
      <c r="I1027" s="423"/>
      <c r="J1027" s="414" t="s">
        <v>124</v>
      </c>
      <c r="K1027" s="415"/>
      <c r="L1027" s="424" t="str">
        <f>IF(NOT($N1048=30),"",IF(ISERROR(LOOKUP(30,'Teacher Summary Sheet'!$M$19:$M$181)),"",IF(VLOOKUP(30,'Teacher Summary Sheet'!$M$19:$R$181,4)=0,"",VLOOKUP(30,'Teacher Summary Sheet'!$M$19:$R$181,4))))</f>
        <v/>
      </c>
      <c r="M1027" s="425"/>
      <c r="N1027" s="425"/>
      <c r="O1027" s="425"/>
      <c r="P1027" s="426"/>
      <c r="Q1027" s="63"/>
      <c r="R1027" s="125" t="str">
        <f>IF(NOT(N1048=30),"",IF(COUNTIF(R1029:R1035,"P")=7,"P","O"))</f>
        <v/>
      </c>
      <c r="S1027" s="110" t="str">
        <f>IF(NOT(N1048=30),"",IF(COUNTIF(R1029:R1035,"P")=7,"Complete","Incomplete"))</f>
        <v/>
      </c>
      <c r="T1027" s="111"/>
    </row>
    <row r="1028" spans="1:20" x14ac:dyDescent="0.2">
      <c r="A1028" s="83"/>
      <c r="B1028" s="410" t="s">
        <v>120</v>
      </c>
      <c r="C1028" s="420"/>
      <c r="D1028" s="411"/>
      <c r="E1028" s="427"/>
      <c r="F1028" s="428"/>
      <c r="G1028" s="428"/>
      <c r="H1028" s="428"/>
      <c r="I1028" s="428"/>
      <c r="J1028" s="429"/>
      <c r="K1028" s="62" t="s">
        <v>121</v>
      </c>
      <c r="L1028" s="427"/>
      <c r="M1028" s="428"/>
      <c r="N1028" s="428"/>
      <c r="O1028" s="428"/>
      <c r="P1028" s="429"/>
      <c r="Q1028" s="63"/>
    </row>
    <row r="1029" spans="1:20" ht="14.25" x14ac:dyDescent="0.2">
      <c r="A1029" s="83"/>
      <c r="B1029" s="410" t="s">
        <v>196</v>
      </c>
      <c r="C1029" s="420"/>
      <c r="D1029" s="411"/>
      <c r="E1029" s="427"/>
      <c r="F1029" s="428"/>
      <c r="G1029" s="428"/>
      <c r="H1029" s="428"/>
      <c r="I1029" s="429"/>
      <c r="J1029" s="73" t="s">
        <v>197</v>
      </c>
      <c r="K1029" s="405"/>
      <c r="L1029" s="406"/>
      <c r="M1029" s="414" t="s">
        <v>212</v>
      </c>
      <c r="N1029" s="415"/>
      <c r="O1029" s="405"/>
      <c r="P1029" s="406"/>
      <c r="Q1029" s="63"/>
      <c r="R1029" s="124" t="str">
        <f>IF(NOT(N1048=30),"",IF(OR(COUNTBLANK(E1027:E1027)=1,COUNTBLANK(L1027:L1027)=1),"O","P"))</f>
        <v/>
      </c>
      <c r="S1029" s="108" t="str">
        <f>IF(NOT(N1048=30),"","Candidate Name")</f>
        <v/>
      </c>
      <c r="T1029" s="64"/>
    </row>
    <row r="1030" spans="1:20" ht="14.25" x14ac:dyDescent="0.2">
      <c r="A1030" s="83"/>
      <c r="B1030" s="410" t="s">
        <v>198</v>
      </c>
      <c r="C1030" s="420"/>
      <c r="D1030" s="411"/>
      <c r="E1030" s="454"/>
      <c r="F1030" s="455"/>
      <c r="G1030" s="455"/>
      <c r="H1030" s="456"/>
      <c r="I1030" s="74" t="s">
        <v>199</v>
      </c>
      <c r="J1030" s="427"/>
      <c r="K1030" s="428"/>
      <c r="L1030" s="428"/>
      <c r="M1030" s="428"/>
      <c r="N1030" s="428"/>
      <c r="O1030" s="428"/>
      <c r="P1030" s="429"/>
      <c r="Q1030" s="63"/>
      <c r="R1030" s="124" t="str">
        <f>IF(NOT(N1048=30),"",IF(COUNTBLANK(E1026:E1026)=1,"O","P"))</f>
        <v/>
      </c>
      <c r="S1030" s="108" t="str">
        <f>IF(NOT(N1048=30),"","Candidate ID")</f>
        <v/>
      </c>
      <c r="T1030" s="64"/>
    </row>
    <row r="1031" spans="1:20" ht="14.25" x14ac:dyDescent="0.2">
      <c r="A1031" s="83"/>
      <c r="B1031" s="410" t="s">
        <v>227</v>
      </c>
      <c r="C1031" s="420"/>
      <c r="D1031" s="411"/>
      <c r="E1031" s="75" t="s">
        <v>218</v>
      </c>
      <c r="F1031" s="405"/>
      <c r="G1031" s="448"/>
      <c r="H1031" s="75" t="s">
        <v>138</v>
      </c>
      <c r="I1031" s="449"/>
      <c r="J1031" s="450"/>
      <c r="K1031" s="76" t="s">
        <v>139</v>
      </c>
      <c r="L1031" s="451"/>
      <c r="M1031" s="452"/>
      <c r="N1031" s="76" t="s">
        <v>228</v>
      </c>
      <c r="O1031" s="453" t="str">
        <f ca="1">IF(OR(ISBLANK(L1031),ISBLANK(I1031),ISBLANK(F1031),COUNTBLANK(J1026:J1026)=1),"",IF(DATEDIF(DATE(L1031,VLOOKUP(I1031,data!$T$2:$U$13,2,FALSE),F1031),IF(AND(TODAY()&lt;data!$AJ$12,TODAY()&gt;data!$AI$12),data!$AI$3,data!$AJ$3),"Y")&gt;=data!$AC$32,YEAR(TODAY())-L1031,data!$AD$3))</f>
        <v/>
      </c>
      <c r="P1031" s="413"/>
      <c r="Q1031" s="63"/>
      <c r="R1031" s="124" t="str">
        <f>IF(NOT(N1048=30),"",IF(OR(ISBLANK(E1028),ISBLANK(L1028),ISBLANK(K1029),ISBLANK(O1029)),"O","P"))</f>
        <v/>
      </c>
      <c r="S1031" s="108" t="str">
        <f>IF(NOT(N1048=30),"","Address")</f>
        <v/>
      </c>
      <c r="T1031" s="64"/>
    </row>
    <row r="1032" spans="1:20" ht="15" thickBot="1" x14ac:dyDescent="0.25">
      <c r="A1032" s="83"/>
      <c r="B1032" s="410" t="s">
        <v>214</v>
      </c>
      <c r="C1032" s="411"/>
      <c r="D1032" s="412" t="str">
        <f>IF(NOT($N1048=30),"",IF(ISERROR(LOOKUP(30,'Teacher Summary Sheet'!$M$19:$M$181)),"",IF(VLOOKUP(30,'Teacher Summary Sheet'!$M$19:$R$181,5)=0,"",VLOOKUP(30,'Teacher Summary Sheet'!$M$19:$R$181,5))))</f>
        <v/>
      </c>
      <c r="E1032" s="413"/>
      <c r="F1032" s="414" t="s">
        <v>319</v>
      </c>
      <c r="G1032" s="415"/>
      <c r="H1032" s="416"/>
      <c r="I1032" s="417"/>
      <c r="J1032" s="418"/>
      <c r="K1032" s="414" t="s">
        <v>320</v>
      </c>
      <c r="L1032" s="419"/>
      <c r="M1032" s="419"/>
      <c r="N1032" s="415"/>
      <c r="O1032" s="405" t="s">
        <v>268</v>
      </c>
      <c r="P1032" s="406"/>
      <c r="Q1032" s="63"/>
      <c r="R1032" s="124" t="str">
        <f>IF(NOT(N1048=30),"",IF(OR(ISBLANK(F1031),ISBLANK(I1031),ISBLANK(L1031)),"O","P"))</f>
        <v/>
      </c>
      <c r="S1032" s="108" t="str">
        <f>IF(NOT(N1048=30),"","Date of Birth")</f>
        <v/>
      </c>
      <c r="T1032" s="64"/>
    </row>
    <row r="1033" spans="1:20" ht="14.25" x14ac:dyDescent="0.2">
      <c r="A1033" s="83"/>
      <c r="B1033" s="522" t="s">
        <v>297</v>
      </c>
      <c r="C1033" s="463"/>
      <c r="D1033" s="463"/>
      <c r="E1033" s="463"/>
      <c r="F1033" s="463"/>
      <c r="G1033" s="463"/>
      <c r="H1033" s="463"/>
      <c r="I1033" s="463"/>
      <c r="J1033" s="463"/>
      <c r="K1033" s="463"/>
      <c r="L1033" s="463"/>
      <c r="M1033" s="463"/>
      <c r="N1033" s="463"/>
      <c r="O1033" s="463"/>
      <c r="P1033" s="464"/>
      <c r="Q1033" s="63"/>
      <c r="R1033" s="124" t="str">
        <f>IF(NOT(N1048=30),"",IF(COUNTBLANK(J1026:J1026)=1,"O","P"))</f>
        <v/>
      </c>
      <c r="S1033" s="112" t="str">
        <f>IF(NOT(N1048=30),"","Exam Level")</f>
        <v/>
      </c>
      <c r="T1033" s="64"/>
    </row>
    <row r="1034" spans="1:20" ht="14.25" x14ac:dyDescent="0.2">
      <c r="A1034" s="83"/>
      <c r="B1034" s="465"/>
      <c r="C1034" s="466"/>
      <c r="D1034" s="466"/>
      <c r="E1034" s="466"/>
      <c r="F1034" s="466"/>
      <c r="G1034" s="466"/>
      <c r="H1034" s="466"/>
      <c r="I1034" s="466"/>
      <c r="J1034" s="466"/>
      <c r="K1034" s="466"/>
      <c r="L1034" s="466"/>
      <c r="M1034" s="466"/>
      <c r="N1034" s="466"/>
      <c r="O1034" s="466"/>
      <c r="P1034" s="467"/>
      <c r="Q1034" s="63"/>
      <c r="R1034" s="124" t="str">
        <f>IF(NOT(N1048=30),"",IF(COUNTBLANK(D1032:D1032)=1,"O","P"))</f>
        <v/>
      </c>
      <c r="S1034" s="109" t="str">
        <f>IF(NOT(N1048=30),"","Gender")</f>
        <v/>
      </c>
      <c r="T1034" s="64"/>
    </row>
    <row r="1035" spans="1:20" ht="14.25" x14ac:dyDescent="0.2">
      <c r="A1035" s="83"/>
      <c r="B1035" s="432" t="s">
        <v>298</v>
      </c>
      <c r="C1035" s="433"/>
      <c r="D1035" s="434"/>
      <c r="E1035" s="405"/>
      <c r="F1035" s="406"/>
      <c r="G1035" s="432" t="s">
        <v>299</v>
      </c>
      <c r="H1035" s="433"/>
      <c r="I1035" s="434"/>
      <c r="J1035" s="405"/>
      <c r="K1035" s="448"/>
      <c r="L1035" s="406"/>
      <c r="M1035" s="414" t="s">
        <v>300</v>
      </c>
      <c r="N1035" s="415"/>
      <c r="O1035" s="457"/>
      <c r="P1035" s="458"/>
      <c r="Q1035" s="63"/>
      <c r="R1035" s="124" t="str">
        <f>IF(NOT(N1048=30),"",IF(ISBLANK(H1032),"O","P"))</f>
        <v/>
      </c>
      <c r="S1035" s="109" t="str">
        <f>IF(NOT(N1048=30),"","Height")</f>
        <v/>
      </c>
      <c r="T1035" s="64"/>
    </row>
    <row r="1036" spans="1:20" x14ac:dyDescent="0.2">
      <c r="A1036" s="83"/>
      <c r="B1036" s="77" t="s">
        <v>153</v>
      </c>
      <c r="C1036" s="405"/>
      <c r="D1036" s="406"/>
      <c r="E1036" s="414" t="s">
        <v>301</v>
      </c>
      <c r="F1036" s="415"/>
      <c r="G1036" s="459"/>
      <c r="H1036" s="460"/>
      <c r="I1036" s="461"/>
      <c r="J1036" s="414" t="s">
        <v>302</v>
      </c>
      <c r="K1036" s="415"/>
      <c r="L1036" s="454"/>
      <c r="M1036" s="455"/>
      <c r="N1036" s="455"/>
      <c r="O1036" s="455"/>
      <c r="P1036" s="456"/>
      <c r="Q1036" s="63"/>
      <c r="R1036" s="64"/>
      <c r="S1036" s="64"/>
      <c r="T1036" s="64"/>
    </row>
    <row r="1037" spans="1:20" x14ac:dyDescent="0.2">
      <c r="A1037" s="83"/>
      <c r="B1037" s="410" t="s">
        <v>116</v>
      </c>
      <c r="C1037" s="420"/>
      <c r="D1037" s="420"/>
      <c r="E1037" s="420"/>
      <c r="F1037" s="420"/>
      <c r="G1037" s="420"/>
      <c r="H1037" s="420"/>
      <c r="I1037" s="420"/>
      <c r="J1037" s="420"/>
      <c r="K1037" s="420"/>
      <c r="L1037" s="420"/>
      <c r="M1037" s="420"/>
      <c r="N1037" s="420"/>
      <c r="O1037" s="420"/>
      <c r="P1037" s="411"/>
      <c r="Q1037" s="63"/>
      <c r="R1037" s="64"/>
      <c r="S1037" s="64"/>
      <c r="T1037" s="64"/>
    </row>
    <row r="1038" spans="1:20" x14ac:dyDescent="0.2">
      <c r="A1038" s="83"/>
      <c r="B1038" s="410" t="s">
        <v>298</v>
      </c>
      <c r="C1038" s="420"/>
      <c r="D1038" s="411"/>
      <c r="E1038" s="405"/>
      <c r="F1038" s="406"/>
      <c r="G1038" s="410" t="s">
        <v>299</v>
      </c>
      <c r="H1038" s="420"/>
      <c r="I1038" s="411"/>
      <c r="J1038" s="454"/>
      <c r="K1038" s="455"/>
      <c r="L1038" s="456"/>
      <c r="M1038" s="414" t="s">
        <v>300</v>
      </c>
      <c r="N1038" s="415"/>
      <c r="O1038" s="457"/>
      <c r="P1038" s="458"/>
      <c r="Q1038" s="63"/>
      <c r="R1038" s="64"/>
    </row>
    <row r="1039" spans="1:20" ht="13.5" thickBot="1" x14ac:dyDescent="0.25">
      <c r="A1039" s="83"/>
      <c r="B1039" s="78" t="s">
        <v>153</v>
      </c>
      <c r="C1039" s="492"/>
      <c r="D1039" s="493"/>
      <c r="E1039" s="494" t="s">
        <v>301</v>
      </c>
      <c r="F1039" s="495"/>
      <c r="G1039" s="496"/>
      <c r="H1039" s="497"/>
      <c r="I1039" s="498"/>
      <c r="J1039" s="414" t="s">
        <v>302</v>
      </c>
      <c r="K1039" s="415"/>
      <c r="L1039" s="454"/>
      <c r="M1039" s="455"/>
      <c r="N1039" s="455"/>
      <c r="O1039" s="455"/>
      <c r="P1039" s="456"/>
      <c r="Q1039" s="63"/>
      <c r="R1039" s="64"/>
    </row>
    <row r="1040" spans="1:20" x14ac:dyDescent="0.2">
      <c r="A1040" s="83"/>
      <c r="B1040" s="499" t="s">
        <v>126</v>
      </c>
      <c r="C1040" s="500"/>
      <c r="D1040" s="500"/>
      <c r="E1040" s="500"/>
      <c r="F1040" s="500"/>
      <c r="G1040" s="500"/>
      <c r="H1040" s="500"/>
      <c r="I1040" s="501"/>
      <c r="J1040" s="505"/>
      <c r="K1040" s="506"/>
      <c r="L1040" s="506"/>
      <c r="M1040" s="506"/>
      <c r="N1040" s="506"/>
      <c r="O1040" s="506"/>
      <c r="P1040" s="507"/>
      <c r="Q1040" s="63"/>
      <c r="R1040" s="64"/>
    </row>
    <row r="1041" spans="1:18" x14ac:dyDescent="0.2">
      <c r="A1041" s="83"/>
      <c r="B1041" s="502"/>
      <c r="C1041" s="503"/>
      <c r="D1041" s="503"/>
      <c r="E1041" s="503"/>
      <c r="F1041" s="503"/>
      <c r="G1041" s="503"/>
      <c r="H1041" s="503"/>
      <c r="I1041" s="504"/>
      <c r="J1041" s="508"/>
      <c r="K1041" s="509"/>
      <c r="L1041" s="509"/>
      <c r="M1041" s="509"/>
      <c r="N1041" s="509"/>
      <c r="O1041" s="509"/>
      <c r="P1041" s="510"/>
      <c r="Q1041" s="63"/>
      <c r="R1041" s="64"/>
    </row>
    <row r="1042" spans="1:18" x14ac:dyDescent="0.2">
      <c r="A1042" s="83"/>
      <c r="B1042" s="514" t="s">
        <v>127</v>
      </c>
      <c r="C1042" s="515"/>
      <c r="D1042" s="515"/>
      <c r="E1042" s="515"/>
      <c r="F1042" s="515"/>
      <c r="G1042" s="515"/>
      <c r="H1042" s="515"/>
      <c r="I1042" s="516"/>
      <c r="J1042" s="508"/>
      <c r="K1042" s="509"/>
      <c r="L1042" s="509"/>
      <c r="M1042" s="509"/>
      <c r="N1042" s="509"/>
      <c r="O1042" s="509"/>
      <c r="P1042" s="510"/>
      <c r="Q1042" s="63"/>
      <c r="R1042" s="64"/>
    </row>
    <row r="1043" spans="1:18" ht="13.5" thickBot="1" x14ac:dyDescent="0.25">
      <c r="A1043" s="83"/>
      <c r="B1043" s="517"/>
      <c r="C1043" s="518"/>
      <c r="D1043" s="518"/>
      <c r="E1043" s="518"/>
      <c r="F1043" s="518"/>
      <c r="G1043" s="518"/>
      <c r="H1043" s="518"/>
      <c r="I1043" s="519"/>
      <c r="J1043" s="511"/>
      <c r="K1043" s="512"/>
      <c r="L1043" s="512"/>
      <c r="M1043" s="512"/>
      <c r="N1043" s="512"/>
      <c r="O1043" s="512"/>
      <c r="P1043" s="513"/>
      <c r="Q1043" s="63"/>
      <c r="R1043" s="64"/>
    </row>
    <row r="1044" spans="1:18" x14ac:dyDescent="0.2">
      <c r="A1044" s="83"/>
      <c r="B1044" s="480" t="s">
        <v>10</v>
      </c>
      <c r="C1044" s="481"/>
      <c r="D1044" s="481"/>
      <c r="E1044" s="481"/>
      <c r="F1044" s="481"/>
      <c r="G1044" s="481"/>
      <c r="H1044" s="481"/>
      <c r="I1044" s="482"/>
      <c r="J1044" s="79">
        <v>1</v>
      </c>
      <c r="K1044" s="483"/>
      <c r="L1044" s="484"/>
      <c r="M1044" s="484"/>
      <c r="N1044" s="484"/>
      <c r="O1044" s="484"/>
      <c r="P1044" s="485"/>
      <c r="Q1044" s="63"/>
      <c r="R1044" s="64"/>
    </row>
    <row r="1045" spans="1:18" x14ac:dyDescent="0.2">
      <c r="A1045" s="83"/>
      <c r="B1045" s="486" t="s">
        <v>276</v>
      </c>
      <c r="C1045" s="487"/>
      <c r="D1045" s="487"/>
      <c r="E1045" s="487"/>
      <c r="F1045" s="487"/>
      <c r="G1045" s="487"/>
      <c r="H1045" s="487"/>
      <c r="I1045" s="488"/>
      <c r="J1045" s="80">
        <v>2</v>
      </c>
      <c r="K1045" s="454"/>
      <c r="L1045" s="455"/>
      <c r="M1045" s="455"/>
      <c r="N1045" s="455"/>
      <c r="O1045" s="455"/>
      <c r="P1045" s="456"/>
      <c r="Q1045" s="63"/>
      <c r="R1045" s="64"/>
    </row>
    <row r="1046" spans="1:18" x14ac:dyDescent="0.2">
      <c r="A1046" s="83"/>
      <c r="B1046" s="489" t="s">
        <v>234</v>
      </c>
      <c r="C1046" s="490"/>
      <c r="D1046" s="490"/>
      <c r="E1046" s="490"/>
      <c r="F1046" s="490"/>
      <c r="G1046" s="490"/>
      <c r="H1046" s="490"/>
      <c r="I1046" s="491"/>
      <c r="J1046" s="80">
        <v>3</v>
      </c>
      <c r="K1046" s="454"/>
      <c r="L1046" s="455"/>
      <c r="M1046" s="455"/>
      <c r="N1046" s="455"/>
      <c r="O1046" s="455"/>
      <c r="P1046" s="456"/>
      <c r="Q1046" s="63"/>
      <c r="R1046" s="64"/>
    </row>
    <row r="1047" spans="1:18" x14ac:dyDescent="0.2">
      <c r="A1047" s="83"/>
      <c r="B1047" s="468"/>
      <c r="C1047" s="468"/>
      <c r="D1047" s="468"/>
      <c r="E1047" s="468"/>
      <c r="F1047" s="468"/>
      <c r="G1047" s="468"/>
      <c r="H1047" s="468"/>
      <c r="I1047" s="468"/>
      <c r="J1047" s="468"/>
      <c r="K1047" s="468"/>
      <c r="L1047" s="468"/>
      <c r="M1047" s="468"/>
      <c r="N1047" s="468"/>
      <c r="O1047" s="468"/>
      <c r="P1047" s="468"/>
      <c r="Q1047" s="63"/>
      <c r="R1047" s="64"/>
    </row>
    <row r="1048" spans="1:18" ht="12" customHeight="1" x14ac:dyDescent="0.2">
      <c r="A1048" s="83"/>
      <c r="B1048" s="469" t="s">
        <v>84</v>
      </c>
      <c r="C1048" s="471" t="str">
        <f>IF(CODE(B1048)=89,"This candidate would like to receive Special","This candidate would not like to receive Special")</f>
        <v>This candidate would like to receive Special</v>
      </c>
      <c r="D1048" s="472"/>
      <c r="E1048" s="472"/>
      <c r="F1048" s="472"/>
      <c r="G1048" s="472"/>
      <c r="H1048" s="472"/>
      <c r="I1048" s="473"/>
      <c r="J1048" s="81"/>
      <c r="K1048" s="474" t="s">
        <v>207</v>
      </c>
      <c r="L1048" s="474"/>
      <c r="M1048" s="475"/>
      <c r="N1048" s="51" t="str">
        <f>IF($P$33&gt;=30,30,"")</f>
        <v/>
      </c>
      <c r="O1048" s="62" t="s">
        <v>52</v>
      </c>
      <c r="P1048" s="51" t="str">
        <f>IF($P$33&gt;=30,$P$33,"")</f>
        <v/>
      </c>
      <c r="Q1048" s="63"/>
      <c r="R1048" s="64"/>
    </row>
    <row r="1049" spans="1:18" ht="12" customHeight="1" x14ac:dyDescent="0.2">
      <c r="A1049" s="83"/>
      <c r="B1049" s="470"/>
      <c r="C1049" s="476" t="str">
        <f>IF(CODE(B1048)=89,"Announcements and Bulletins from RAD Canada","Announcements and Bulletins from RAD Canada")</f>
        <v>Announcements and Bulletins from RAD Canada</v>
      </c>
      <c r="D1049" s="477"/>
      <c r="E1049" s="477"/>
      <c r="F1049" s="477"/>
      <c r="G1049" s="477"/>
      <c r="H1049" s="477"/>
      <c r="I1049" s="478"/>
      <c r="J1049" s="479"/>
      <c r="K1049" s="400"/>
      <c r="L1049" s="400"/>
      <c r="M1049" s="400"/>
      <c r="N1049" s="400"/>
      <c r="O1049" s="400"/>
      <c r="P1049" s="400"/>
      <c r="Q1049" s="63"/>
      <c r="R1049" s="64"/>
    </row>
    <row r="1050" spans="1:18" x14ac:dyDescent="0.2">
      <c r="A1050" s="83"/>
      <c r="B1050" s="400"/>
      <c r="C1050" s="400"/>
      <c r="D1050" s="400"/>
      <c r="E1050" s="400"/>
      <c r="F1050" s="400"/>
      <c r="G1050" s="400"/>
      <c r="H1050" s="400"/>
      <c r="I1050" s="400"/>
      <c r="J1050" s="400"/>
      <c r="K1050" s="400"/>
      <c r="L1050" s="400"/>
      <c r="M1050" s="400"/>
      <c r="N1050" s="400"/>
      <c r="O1050" s="400"/>
      <c r="P1050" s="400"/>
      <c r="Q1050" s="63"/>
      <c r="R1050" s="64"/>
    </row>
    <row r="1051" spans="1:18" x14ac:dyDescent="0.2">
      <c r="A1051" s="83"/>
      <c r="B1051" s="62"/>
      <c r="C1051" s="62"/>
      <c r="D1051" s="62"/>
      <c r="E1051" s="62"/>
      <c r="F1051" s="62"/>
      <c r="G1051" s="62"/>
      <c r="H1051" s="62"/>
      <c r="I1051" s="62"/>
      <c r="J1051" s="62"/>
      <c r="K1051" s="62"/>
      <c r="L1051" s="62"/>
      <c r="M1051" s="62"/>
      <c r="N1051" s="62"/>
      <c r="O1051" s="62"/>
      <c r="P1051" s="62"/>
      <c r="Q1051" s="63"/>
      <c r="R1051" s="64"/>
    </row>
    <row r="1052" spans="1:18" x14ac:dyDescent="0.2">
      <c r="A1052" s="83"/>
      <c r="B1052" s="401" t="s">
        <v>140</v>
      </c>
      <c r="C1052" s="402"/>
      <c r="D1052" s="402"/>
      <c r="E1052" s="402"/>
      <c r="F1052" s="402"/>
      <c r="G1052" s="402"/>
      <c r="H1052" s="62"/>
      <c r="I1052" s="62"/>
      <c r="J1052" s="62"/>
      <c r="K1052" s="62"/>
      <c r="L1052" s="62"/>
      <c r="M1052" s="62"/>
      <c r="N1052" s="62"/>
      <c r="O1052" s="62"/>
      <c r="P1052" s="62"/>
      <c r="Q1052" s="63"/>
      <c r="R1052" s="64"/>
    </row>
    <row r="1053" spans="1:18" ht="15.75" x14ac:dyDescent="0.25">
      <c r="A1053" s="83"/>
      <c r="B1053" s="402"/>
      <c r="C1053" s="402"/>
      <c r="D1053" s="402"/>
      <c r="E1053" s="402"/>
      <c r="F1053" s="402"/>
      <c r="G1053" s="402"/>
      <c r="H1053" s="82"/>
      <c r="I1053" s="403"/>
      <c r="J1053" s="403"/>
      <c r="K1053" s="403"/>
      <c r="L1053" s="403"/>
      <c r="M1053" s="403"/>
      <c r="N1053" s="403"/>
      <c r="O1053" s="403"/>
      <c r="P1053" s="403"/>
      <c r="Q1053" s="63"/>
      <c r="R1053" s="64"/>
    </row>
    <row r="1054" spans="1:18" x14ac:dyDescent="0.2">
      <c r="A1054" s="83"/>
      <c r="B1054" s="400"/>
      <c r="C1054" s="400"/>
      <c r="D1054" s="400"/>
      <c r="E1054" s="400"/>
      <c r="F1054" s="400"/>
      <c r="G1054" s="400"/>
      <c r="H1054" s="400"/>
      <c r="I1054" s="400"/>
      <c r="J1054" s="400"/>
      <c r="K1054" s="400"/>
      <c r="L1054" s="400"/>
      <c r="M1054" s="403"/>
      <c r="N1054" s="403"/>
      <c r="O1054" s="403"/>
      <c r="P1054" s="403"/>
      <c r="Q1054" s="63"/>
      <c r="R1054" s="64"/>
    </row>
    <row r="1055" spans="1:18" x14ac:dyDescent="0.2">
      <c r="A1055" s="83"/>
      <c r="B1055" s="404" t="s">
        <v>260</v>
      </c>
      <c r="C1055" s="404"/>
      <c r="D1055" s="404"/>
      <c r="E1055" s="404"/>
      <c r="F1055" s="400"/>
      <c r="G1055" s="400"/>
      <c r="H1055" s="400"/>
      <c r="I1055" s="400"/>
      <c r="J1055" s="400"/>
      <c r="K1055" s="400"/>
      <c r="L1055" s="400"/>
      <c r="M1055" s="403"/>
      <c r="N1055" s="403"/>
      <c r="O1055" s="403"/>
      <c r="P1055" s="403"/>
      <c r="Q1055" s="63"/>
      <c r="R1055" s="64"/>
    </row>
    <row r="1056" spans="1:18" x14ac:dyDescent="0.2">
      <c r="A1056" s="83"/>
      <c r="B1056" s="69"/>
      <c r="C1056" s="324" t="s">
        <v>75</v>
      </c>
      <c r="D1056" s="408"/>
      <c r="E1056" s="409"/>
      <c r="F1056" s="400"/>
      <c r="G1056" s="400"/>
      <c r="H1056" s="400"/>
      <c r="I1056" s="400"/>
      <c r="J1056" s="400"/>
      <c r="K1056" s="400"/>
      <c r="L1056" s="400"/>
      <c r="M1056" s="70"/>
      <c r="N1056" s="70"/>
      <c r="O1056" s="70"/>
      <c r="P1056" s="70"/>
      <c r="Q1056" s="63"/>
      <c r="R1056" s="64"/>
    </row>
    <row r="1057" spans="1:20" x14ac:dyDescent="0.2">
      <c r="A1057" s="83"/>
      <c r="B1057" s="71"/>
      <c r="C1057" s="324" t="s">
        <v>128</v>
      </c>
      <c r="D1057" s="408"/>
      <c r="E1057" s="409"/>
      <c r="F1057" s="400"/>
      <c r="G1057" s="400"/>
      <c r="H1057" s="400"/>
      <c r="I1057" s="400"/>
      <c r="J1057" s="400"/>
      <c r="K1057" s="400"/>
      <c r="L1057" s="400"/>
      <c r="M1057" s="407" t="s">
        <v>256</v>
      </c>
      <c r="N1057" s="407"/>
      <c r="O1057" s="407"/>
      <c r="P1057" s="407"/>
      <c r="Q1057" s="63"/>
      <c r="R1057" s="64"/>
    </row>
    <row r="1058" spans="1:20" x14ac:dyDescent="0.2">
      <c r="A1058" s="83"/>
      <c r="B1058" s="56"/>
      <c r="C1058" s="324" t="s">
        <v>141</v>
      </c>
      <c r="D1058" s="408"/>
      <c r="E1058" s="409"/>
      <c r="F1058" s="400"/>
      <c r="G1058" s="400"/>
      <c r="H1058" s="400"/>
      <c r="I1058" s="400"/>
      <c r="J1058" s="400"/>
      <c r="K1058" s="400"/>
      <c r="L1058" s="400"/>
      <c r="M1058" s="407"/>
      <c r="N1058" s="407"/>
      <c r="O1058" s="407"/>
      <c r="P1058" s="407"/>
      <c r="Q1058" s="63"/>
      <c r="R1058" s="64"/>
    </row>
    <row r="1059" spans="1:20" x14ac:dyDescent="0.2">
      <c r="A1059" s="83"/>
      <c r="B1059" s="520"/>
      <c r="C1059" s="520"/>
      <c r="D1059" s="520"/>
      <c r="E1059" s="520"/>
      <c r="F1059" s="520"/>
      <c r="G1059" s="520"/>
      <c r="H1059" s="520"/>
      <c r="I1059" s="520"/>
      <c r="J1059" s="520"/>
      <c r="K1059" s="520"/>
      <c r="L1059" s="520"/>
      <c r="M1059" s="520"/>
      <c r="N1059" s="520"/>
      <c r="O1059" s="520"/>
      <c r="P1059" s="520"/>
      <c r="Q1059" s="63"/>
      <c r="R1059" s="64"/>
    </row>
    <row r="1060" spans="1:20" x14ac:dyDescent="0.2">
      <c r="A1060" s="83"/>
      <c r="B1060" s="432" t="s">
        <v>117</v>
      </c>
      <c r="C1060" s="433"/>
      <c r="D1060" s="434"/>
      <c r="E1060" s="442" t="str">
        <f>IF(AND($P$33&gt;=31,NOT(ISBLANK($E$10))),$E$10,"")</f>
        <v/>
      </c>
      <c r="F1060" s="443"/>
      <c r="G1060" s="444"/>
      <c r="H1060" s="414" t="s">
        <v>124</v>
      </c>
      <c r="I1060" s="415"/>
      <c r="J1060" s="442" t="str">
        <f>IF(AND($P$33&gt;=31,NOT(ISBLANK($J$10))),$J$10,"")</f>
        <v/>
      </c>
      <c r="K1060" s="443"/>
      <c r="L1060" s="444"/>
      <c r="M1060" s="414" t="s">
        <v>118</v>
      </c>
      <c r="N1060" s="415"/>
      <c r="O1060" s="430" t="str">
        <f>IF(AND($P$33&gt;=31,NOT(ISBLANK($O$10))),$O$10,"")</f>
        <v/>
      </c>
      <c r="P1060" s="521"/>
      <c r="Q1060" s="63"/>
      <c r="R1060" s="545" t="s">
        <v>307</v>
      </c>
      <c r="S1060" s="546"/>
      <c r="T1060" s="547"/>
    </row>
    <row r="1061" spans="1:20" x14ac:dyDescent="0.2">
      <c r="A1061" s="83"/>
      <c r="B1061" s="432" t="s">
        <v>240</v>
      </c>
      <c r="C1061" s="433"/>
      <c r="D1061" s="434"/>
      <c r="E1061" s="435" t="str">
        <f>IF(NOT($N1083=31),"",IF(ISERROR(LOOKUP(31,'Teacher Summary Sheet'!$M$19:$M$181)),"",IF(VLOOKUP(31,'Teacher Summary Sheet'!$M$19:$R$181,2)=0,"",VLOOKUP(31,'Teacher Summary Sheet'!$M$19:$R$181,2))))</f>
        <v/>
      </c>
      <c r="F1061" s="436"/>
      <c r="G1061" s="437"/>
      <c r="H1061" s="438" t="s">
        <v>119</v>
      </c>
      <c r="I1061" s="439"/>
      <c r="J1061" s="102" t="str">
        <f>IF(NOT($N1083=31),"",IF(ISERROR(LOOKUP(31,'Teacher Summary Sheet'!$M$19:$M$181)),"",IF(VLOOKUP(31,'Teacher Summary Sheet'!$M$19:$R$181,6)=0,"",VLOOKUP(31,'Teacher Summary Sheet'!$M$19:$R$181,6))))</f>
        <v/>
      </c>
      <c r="K1061" s="414" t="s">
        <v>179</v>
      </c>
      <c r="L1061" s="419"/>
      <c r="M1061" s="415"/>
      <c r="N1061" s="412" t="str">
        <f>IF(NOT($N1083=31),"",IF(ISERROR(LOOKUP(31,'Teacher Summary Sheet'!$M$19:$M$181)),"",IF('Teacher Summary Sheet'!$F$31=0,"",'Teacher Summary Sheet'!$F$31)))</f>
        <v/>
      </c>
      <c r="O1061" s="440"/>
      <c r="P1061" s="413"/>
      <c r="Q1061" s="63"/>
      <c r="R1061" s="548"/>
      <c r="S1061" s="549"/>
      <c r="T1061" s="550"/>
    </row>
    <row r="1062" spans="1:20" ht="14.25" x14ac:dyDescent="0.2">
      <c r="A1062" s="83"/>
      <c r="B1062" s="410" t="s">
        <v>241</v>
      </c>
      <c r="C1062" s="420"/>
      <c r="D1062" s="411"/>
      <c r="E1062" s="421" t="str">
        <f>IF(NOT($N1083=31),"",IF(ISERROR(LOOKUP(31,'Teacher Summary Sheet'!$M$19:$M$181)),"",IF(VLOOKUP(31,'Teacher Summary Sheet'!$M$19:$R$181,3)=0,"",VLOOKUP(31,'Teacher Summary Sheet'!$M$19:$R$181,3))))</f>
        <v/>
      </c>
      <c r="F1062" s="422"/>
      <c r="G1062" s="422"/>
      <c r="H1062" s="422"/>
      <c r="I1062" s="423"/>
      <c r="J1062" s="414" t="s">
        <v>124</v>
      </c>
      <c r="K1062" s="415"/>
      <c r="L1062" s="424" t="str">
        <f>IF(NOT($N1083=31),"",IF(ISERROR(LOOKUP(31,'Teacher Summary Sheet'!$M$19:$M$181)),"",IF(VLOOKUP(31,'Teacher Summary Sheet'!$M$19:$R$181,4)=0,"",VLOOKUP(31,'Teacher Summary Sheet'!$M$19:$R$181,4))))</f>
        <v/>
      </c>
      <c r="M1062" s="425"/>
      <c r="N1062" s="425"/>
      <c r="O1062" s="425"/>
      <c r="P1062" s="426"/>
      <c r="Q1062" s="63"/>
      <c r="R1062" s="125" t="str">
        <f>IF(NOT(N1083=31),"",IF(COUNTIF(R1064:R1070,"P")=7,"P","O"))</f>
        <v/>
      </c>
      <c r="S1062" s="110" t="str">
        <f>IF(NOT(N1083=31),"",IF(COUNTIF(R1064:R1070,"P")=7,"Complete","Incomplete"))</f>
        <v/>
      </c>
      <c r="T1062" s="111"/>
    </row>
    <row r="1063" spans="1:20" x14ac:dyDescent="0.2">
      <c r="A1063" s="83"/>
      <c r="B1063" s="410" t="s">
        <v>120</v>
      </c>
      <c r="C1063" s="420"/>
      <c r="D1063" s="411"/>
      <c r="E1063" s="427"/>
      <c r="F1063" s="428"/>
      <c r="G1063" s="428"/>
      <c r="H1063" s="428"/>
      <c r="I1063" s="428"/>
      <c r="J1063" s="429"/>
      <c r="K1063" s="62" t="s">
        <v>121</v>
      </c>
      <c r="L1063" s="427"/>
      <c r="M1063" s="428"/>
      <c r="N1063" s="428"/>
      <c r="O1063" s="428"/>
      <c r="P1063" s="429"/>
      <c r="Q1063" s="63"/>
    </row>
    <row r="1064" spans="1:20" ht="14.25" x14ac:dyDescent="0.2">
      <c r="A1064" s="83"/>
      <c r="B1064" s="410" t="s">
        <v>196</v>
      </c>
      <c r="C1064" s="420"/>
      <c r="D1064" s="411"/>
      <c r="E1064" s="427"/>
      <c r="F1064" s="428"/>
      <c r="G1064" s="428"/>
      <c r="H1064" s="428"/>
      <c r="I1064" s="429"/>
      <c r="J1064" s="73" t="s">
        <v>197</v>
      </c>
      <c r="K1064" s="405"/>
      <c r="L1064" s="406"/>
      <c r="M1064" s="414" t="s">
        <v>212</v>
      </c>
      <c r="N1064" s="415"/>
      <c r="O1064" s="405"/>
      <c r="P1064" s="406"/>
      <c r="Q1064" s="63"/>
      <c r="R1064" s="124" t="str">
        <f>IF(NOT(N1083=31),"",IF(OR(COUNTBLANK(E1062:E1062)=1,COUNTBLANK(L1062:L1062)=1),"O","P"))</f>
        <v/>
      </c>
      <c r="S1064" s="108" t="str">
        <f>IF(NOT(N1083=31),"","Candidate Name")</f>
        <v/>
      </c>
      <c r="T1064" s="64"/>
    </row>
    <row r="1065" spans="1:20" ht="14.25" x14ac:dyDescent="0.2">
      <c r="A1065" s="83"/>
      <c r="B1065" s="410" t="s">
        <v>198</v>
      </c>
      <c r="C1065" s="420"/>
      <c r="D1065" s="411"/>
      <c r="E1065" s="454"/>
      <c r="F1065" s="455"/>
      <c r="G1065" s="455"/>
      <c r="H1065" s="456"/>
      <c r="I1065" s="74" t="s">
        <v>199</v>
      </c>
      <c r="J1065" s="427"/>
      <c r="K1065" s="428"/>
      <c r="L1065" s="428"/>
      <c r="M1065" s="428"/>
      <c r="N1065" s="428"/>
      <c r="O1065" s="428"/>
      <c r="P1065" s="429"/>
      <c r="Q1065" s="63"/>
      <c r="R1065" s="124" t="str">
        <f>IF(NOT(N1083=31),"",IF(COUNTBLANK(E1061:E1061)=1,"O","P"))</f>
        <v/>
      </c>
      <c r="S1065" s="108" t="str">
        <f>IF(NOT(N1083=31),"","Candidate ID")</f>
        <v/>
      </c>
      <c r="T1065" s="64"/>
    </row>
    <row r="1066" spans="1:20" ht="14.25" x14ac:dyDescent="0.2">
      <c r="A1066" s="83"/>
      <c r="B1066" s="410" t="s">
        <v>227</v>
      </c>
      <c r="C1066" s="420"/>
      <c r="D1066" s="411"/>
      <c r="E1066" s="75" t="s">
        <v>218</v>
      </c>
      <c r="F1066" s="405"/>
      <c r="G1066" s="448"/>
      <c r="H1066" s="75" t="s">
        <v>138</v>
      </c>
      <c r="I1066" s="449"/>
      <c r="J1066" s="450"/>
      <c r="K1066" s="76" t="s">
        <v>139</v>
      </c>
      <c r="L1066" s="451"/>
      <c r="M1066" s="452"/>
      <c r="N1066" s="76" t="s">
        <v>228</v>
      </c>
      <c r="O1066" s="453" t="str">
        <f ca="1">IF(OR(ISBLANK(L1066),ISBLANK(I1066),ISBLANK(F1066),COUNTBLANK(J1061:J1061)=1),"",IF(DATEDIF(DATE(L1066,VLOOKUP(I1066,data!$T$2:$U$13,2,FALSE),F1066),IF(AND(TODAY()&lt;data!$AJ$12,TODAY()&gt;data!$AI$12),data!$AI$3,data!$AJ$3),"Y")&gt;=data!$AC$33,YEAR(TODAY())-L1066,data!$AD$3))</f>
        <v/>
      </c>
      <c r="P1066" s="413"/>
      <c r="Q1066" s="63"/>
      <c r="R1066" s="124" t="str">
        <f>IF(NOT(N1083=31),"",IF(OR(ISBLANK(E1063),ISBLANK(L1063),ISBLANK(K1064),ISBLANK(O1064)),"O","P"))</f>
        <v/>
      </c>
      <c r="S1066" s="108" t="str">
        <f>IF(NOT(N1083=31),"","Address")</f>
        <v/>
      </c>
      <c r="T1066" s="64"/>
    </row>
    <row r="1067" spans="1:20" ht="15" thickBot="1" x14ac:dyDescent="0.25">
      <c r="A1067" s="83"/>
      <c r="B1067" s="410" t="s">
        <v>214</v>
      </c>
      <c r="C1067" s="411"/>
      <c r="D1067" s="412" t="str">
        <f>IF(NOT($N1083=31),"",IF(ISERROR(LOOKUP(31,'Teacher Summary Sheet'!$M$19:$M$181)),"",IF(VLOOKUP(31,'Teacher Summary Sheet'!$M$19:$R$181,5)=0,"",VLOOKUP(31,'Teacher Summary Sheet'!$M$19:$R$181,5))))</f>
        <v/>
      </c>
      <c r="E1067" s="413"/>
      <c r="F1067" s="414" t="s">
        <v>319</v>
      </c>
      <c r="G1067" s="415"/>
      <c r="H1067" s="416"/>
      <c r="I1067" s="417"/>
      <c r="J1067" s="418"/>
      <c r="K1067" s="414" t="s">
        <v>320</v>
      </c>
      <c r="L1067" s="419"/>
      <c r="M1067" s="419"/>
      <c r="N1067" s="415"/>
      <c r="O1067" s="405" t="s">
        <v>268</v>
      </c>
      <c r="P1067" s="406"/>
      <c r="Q1067" s="63"/>
      <c r="R1067" s="124" t="str">
        <f>IF(NOT(N1083=31),"",IF(OR(ISBLANK(F1066),ISBLANK(I1066),ISBLANK(L1066)),"O","P"))</f>
        <v/>
      </c>
      <c r="S1067" s="108" t="str">
        <f>IF(NOT(N1083=31),"","Date of Birth")</f>
        <v/>
      </c>
      <c r="T1067" s="64"/>
    </row>
    <row r="1068" spans="1:20" ht="14.25" x14ac:dyDescent="0.2">
      <c r="A1068" s="83"/>
      <c r="B1068" s="522" t="s">
        <v>297</v>
      </c>
      <c r="C1068" s="463"/>
      <c r="D1068" s="463"/>
      <c r="E1068" s="463"/>
      <c r="F1068" s="463"/>
      <c r="G1068" s="463"/>
      <c r="H1068" s="463"/>
      <c r="I1068" s="463"/>
      <c r="J1068" s="463"/>
      <c r="K1068" s="463"/>
      <c r="L1068" s="463"/>
      <c r="M1068" s="463"/>
      <c r="N1068" s="463"/>
      <c r="O1068" s="463"/>
      <c r="P1068" s="464"/>
      <c r="Q1068" s="63"/>
      <c r="R1068" s="124" t="str">
        <f>IF(NOT(N1083=31),"",IF(COUNTBLANK(J1061:J1061)=1,"O","P"))</f>
        <v/>
      </c>
      <c r="S1068" s="112" t="str">
        <f>IF(NOT(N1083=31),"","Exam Level")</f>
        <v/>
      </c>
      <c r="T1068" s="64"/>
    </row>
    <row r="1069" spans="1:20" ht="14.25" x14ac:dyDescent="0.2">
      <c r="A1069" s="83"/>
      <c r="B1069" s="465"/>
      <c r="C1069" s="466"/>
      <c r="D1069" s="466"/>
      <c r="E1069" s="466"/>
      <c r="F1069" s="466"/>
      <c r="G1069" s="466"/>
      <c r="H1069" s="466"/>
      <c r="I1069" s="466"/>
      <c r="J1069" s="466"/>
      <c r="K1069" s="466"/>
      <c r="L1069" s="466"/>
      <c r="M1069" s="466"/>
      <c r="N1069" s="466"/>
      <c r="O1069" s="466"/>
      <c r="P1069" s="467"/>
      <c r="Q1069" s="63"/>
      <c r="R1069" s="124" t="str">
        <f>IF(NOT(N1083=31),"",IF(COUNTBLANK(D1067:D1067)=1,"O","P"))</f>
        <v/>
      </c>
      <c r="S1069" s="109" t="str">
        <f>IF(NOT(N1083=31),"","Gender")</f>
        <v/>
      </c>
      <c r="T1069" s="64"/>
    </row>
    <row r="1070" spans="1:20" ht="14.25" x14ac:dyDescent="0.2">
      <c r="A1070" s="83"/>
      <c r="B1070" s="432" t="s">
        <v>298</v>
      </c>
      <c r="C1070" s="433"/>
      <c r="D1070" s="434"/>
      <c r="E1070" s="405"/>
      <c r="F1070" s="406"/>
      <c r="G1070" s="432" t="s">
        <v>299</v>
      </c>
      <c r="H1070" s="433"/>
      <c r="I1070" s="434"/>
      <c r="J1070" s="405"/>
      <c r="K1070" s="448"/>
      <c r="L1070" s="406"/>
      <c r="M1070" s="414" t="s">
        <v>300</v>
      </c>
      <c r="N1070" s="415"/>
      <c r="O1070" s="457"/>
      <c r="P1070" s="458"/>
      <c r="Q1070" s="63"/>
      <c r="R1070" s="124" t="str">
        <f>IF(NOT(N1083=31),"",IF(ISBLANK(H1067),"O","P"))</f>
        <v/>
      </c>
      <c r="S1070" s="109" t="str">
        <f>IF(NOT(N1083=31),"","Height")</f>
        <v/>
      </c>
      <c r="T1070" s="64"/>
    </row>
    <row r="1071" spans="1:20" x14ac:dyDescent="0.2">
      <c r="A1071" s="83"/>
      <c r="B1071" s="77" t="s">
        <v>153</v>
      </c>
      <c r="C1071" s="405"/>
      <c r="D1071" s="406"/>
      <c r="E1071" s="414" t="s">
        <v>301</v>
      </c>
      <c r="F1071" s="415"/>
      <c r="G1071" s="459"/>
      <c r="H1071" s="460"/>
      <c r="I1071" s="461"/>
      <c r="J1071" s="414" t="s">
        <v>302</v>
      </c>
      <c r="K1071" s="415"/>
      <c r="L1071" s="454"/>
      <c r="M1071" s="455"/>
      <c r="N1071" s="455"/>
      <c r="O1071" s="455"/>
      <c r="P1071" s="456"/>
      <c r="Q1071" s="63"/>
      <c r="R1071" s="64"/>
      <c r="S1071" s="64"/>
      <c r="T1071" s="64"/>
    </row>
    <row r="1072" spans="1:20" x14ac:dyDescent="0.2">
      <c r="A1072" s="83"/>
      <c r="B1072" s="410" t="s">
        <v>116</v>
      </c>
      <c r="C1072" s="420"/>
      <c r="D1072" s="420"/>
      <c r="E1072" s="420"/>
      <c r="F1072" s="420"/>
      <c r="G1072" s="420"/>
      <c r="H1072" s="420"/>
      <c r="I1072" s="420"/>
      <c r="J1072" s="420"/>
      <c r="K1072" s="420"/>
      <c r="L1072" s="420"/>
      <c r="M1072" s="420"/>
      <c r="N1072" s="420"/>
      <c r="O1072" s="420"/>
      <c r="P1072" s="411"/>
      <c r="Q1072" s="63"/>
      <c r="R1072" s="64"/>
      <c r="S1072" s="64"/>
      <c r="T1072" s="64"/>
    </row>
    <row r="1073" spans="1:18" x14ac:dyDescent="0.2">
      <c r="A1073" s="83"/>
      <c r="B1073" s="410" t="s">
        <v>298</v>
      </c>
      <c r="C1073" s="420"/>
      <c r="D1073" s="411"/>
      <c r="E1073" s="405"/>
      <c r="F1073" s="406"/>
      <c r="G1073" s="410" t="s">
        <v>299</v>
      </c>
      <c r="H1073" s="420"/>
      <c r="I1073" s="411"/>
      <c r="J1073" s="454"/>
      <c r="K1073" s="455"/>
      <c r="L1073" s="456"/>
      <c r="M1073" s="414" t="s">
        <v>300</v>
      </c>
      <c r="N1073" s="415"/>
      <c r="O1073" s="457"/>
      <c r="P1073" s="458"/>
      <c r="Q1073" s="63"/>
      <c r="R1073" s="64"/>
    </row>
    <row r="1074" spans="1:18" ht="13.5" thickBot="1" x14ac:dyDescent="0.25">
      <c r="A1074" s="83"/>
      <c r="B1074" s="78" t="s">
        <v>153</v>
      </c>
      <c r="C1074" s="492"/>
      <c r="D1074" s="493"/>
      <c r="E1074" s="494" t="s">
        <v>301</v>
      </c>
      <c r="F1074" s="495"/>
      <c r="G1074" s="496"/>
      <c r="H1074" s="497"/>
      <c r="I1074" s="498"/>
      <c r="J1074" s="414" t="s">
        <v>302</v>
      </c>
      <c r="K1074" s="415"/>
      <c r="L1074" s="454"/>
      <c r="M1074" s="455"/>
      <c r="N1074" s="455"/>
      <c r="O1074" s="455"/>
      <c r="P1074" s="456"/>
      <c r="Q1074" s="63"/>
      <c r="R1074" s="64"/>
    </row>
    <row r="1075" spans="1:18" x14ac:dyDescent="0.2">
      <c r="A1075" s="83"/>
      <c r="B1075" s="499" t="s">
        <v>126</v>
      </c>
      <c r="C1075" s="500"/>
      <c r="D1075" s="500"/>
      <c r="E1075" s="500"/>
      <c r="F1075" s="500"/>
      <c r="G1075" s="500"/>
      <c r="H1075" s="500"/>
      <c r="I1075" s="501"/>
      <c r="J1075" s="505"/>
      <c r="K1075" s="506"/>
      <c r="L1075" s="506"/>
      <c r="M1075" s="506"/>
      <c r="N1075" s="506"/>
      <c r="O1075" s="506"/>
      <c r="P1075" s="507"/>
      <c r="Q1075" s="63"/>
      <c r="R1075" s="64"/>
    </row>
    <row r="1076" spans="1:18" x14ac:dyDescent="0.2">
      <c r="A1076" s="83"/>
      <c r="B1076" s="502"/>
      <c r="C1076" s="503"/>
      <c r="D1076" s="503"/>
      <c r="E1076" s="503"/>
      <c r="F1076" s="503"/>
      <c r="G1076" s="503"/>
      <c r="H1076" s="503"/>
      <c r="I1076" s="504"/>
      <c r="J1076" s="508"/>
      <c r="K1076" s="509"/>
      <c r="L1076" s="509"/>
      <c r="M1076" s="509"/>
      <c r="N1076" s="509"/>
      <c r="O1076" s="509"/>
      <c r="P1076" s="510"/>
      <c r="Q1076" s="63"/>
      <c r="R1076" s="64"/>
    </row>
    <row r="1077" spans="1:18" x14ac:dyDescent="0.2">
      <c r="A1077" s="83"/>
      <c r="B1077" s="514" t="s">
        <v>127</v>
      </c>
      <c r="C1077" s="515"/>
      <c r="D1077" s="515"/>
      <c r="E1077" s="515"/>
      <c r="F1077" s="515"/>
      <c r="G1077" s="515"/>
      <c r="H1077" s="515"/>
      <c r="I1077" s="516"/>
      <c r="J1077" s="508"/>
      <c r="K1077" s="509"/>
      <c r="L1077" s="509"/>
      <c r="M1077" s="509"/>
      <c r="N1077" s="509"/>
      <c r="O1077" s="509"/>
      <c r="P1077" s="510"/>
      <c r="Q1077" s="63"/>
      <c r="R1077" s="64"/>
    </row>
    <row r="1078" spans="1:18" ht="13.5" thickBot="1" x14ac:dyDescent="0.25">
      <c r="A1078" s="83"/>
      <c r="B1078" s="517"/>
      <c r="C1078" s="518"/>
      <c r="D1078" s="518"/>
      <c r="E1078" s="518"/>
      <c r="F1078" s="518"/>
      <c r="G1078" s="518"/>
      <c r="H1078" s="518"/>
      <c r="I1078" s="519"/>
      <c r="J1078" s="511"/>
      <c r="K1078" s="512"/>
      <c r="L1078" s="512"/>
      <c r="M1078" s="512"/>
      <c r="N1078" s="512"/>
      <c r="O1078" s="512"/>
      <c r="P1078" s="513"/>
      <c r="Q1078" s="63"/>
      <c r="R1078" s="64"/>
    </row>
    <row r="1079" spans="1:18" x14ac:dyDescent="0.2">
      <c r="A1079" s="83"/>
      <c r="B1079" s="480" t="s">
        <v>10</v>
      </c>
      <c r="C1079" s="481"/>
      <c r="D1079" s="481"/>
      <c r="E1079" s="481"/>
      <c r="F1079" s="481"/>
      <c r="G1079" s="481"/>
      <c r="H1079" s="481"/>
      <c r="I1079" s="482"/>
      <c r="J1079" s="79">
        <v>1</v>
      </c>
      <c r="K1079" s="483"/>
      <c r="L1079" s="484"/>
      <c r="M1079" s="484"/>
      <c r="N1079" s="484"/>
      <c r="O1079" s="484"/>
      <c r="P1079" s="485"/>
      <c r="Q1079" s="63"/>
      <c r="R1079" s="64"/>
    </row>
    <row r="1080" spans="1:18" x14ac:dyDescent="0.2">
      <c r="A1080" s="83"/>
      <c r="B1080" s="486" t="s">
        <v>276</v>
      </c>
      <c r="C1080" s="487"/>
      <c r="D1080" s="487"/>
      <c r="E1080" s="487"/>
      <c r="F1080" s="487"/>
      <c r="G1080" s="487"/>
      <c r="H1080" s="487"/>
      <c r="I1080" s="488"/>
      <c r="J1080" s="80">
        <v>2</v>
      </c>
      <c r="K1080" s="454"/>
      <c r="L1080" s="455"/>
      <c r="M1080" s="455"/>
      <c r="N1080" s="455"/>
      <c r="O1080" s="455"/>
      <c r="P1080" s="456"/>
      <c r="Q1080" s="63"/>
      <c r="R1080" s="64"/>
    </row>
    <row r="1081" spans="1:18" x14ac:dyDescent="0.2">
      <c r="A1081" s="83"/>
      <c r="B1081" s="489" t="s">
        <v>234</v>
      </c>
      <c r="C1081" s="490"/>
      <c r="D1081" s="490"/>
      <c r="E1081" s="490"/>
      <c r="F1081" s="490"/>
      <c r="G1081" s="490"/>
      <c r="H1081" s="490"/>
      <c r="I1081" s="491"/>
      <c r="J1081" s="80">
        <v>3</v>
      </c>
      <c r="K1081" s="454"/>
      <c r="L1081" s="455"/>
      <c r="M1081" s="455"/>
      <c r="N1081" s="455"/>
      <c r="O1081" s="455"/>
      <c r="P1081" s="456"/>
      <c r="Q1081" s="63"/>
      <c r="R1081" s="64"/>
    </row>
    <row r="1082" spans="1:18" x14ac:dyDescent="0.2">
      <c r="A1082" s="83"/>
      <c r="B1082" s="468"/>
      <c r="C1082" s="468"/>
      <c r="D1082" s="468"/>
      <c r="E1082" s="468"/>
      <c r="F1082" s="468"/>
      <c r="G1082" s="468"/>
      <c r="H1082" s="468"/>
      <c r="I1082" s="468"/>
      <c r="J1082" s="468"/>
      <c r="K1082" s="468"/>
      <c r="L1082" s="468"/>
      <c r="M1082" s="468"/>
      <c r="N1082" s="468"/>
      <c r="O1082" s="468"/>
      <c r="P1082" s="468"/>
      <c r="Q1082" s="63"/>
      <c r="R1082" s="64"/>
    </row>
    <row r="1083" spans="1:18" ht="12" customHeight="1" x14ac:dyDescent="0.2">
      <c r="A1083" s="83"/>
      <c r="B1083" s="469" t="s">
        <v>84</v>
      </c>
      <c r="C1083" s="471" t="str">
        <f>IF(CODE(B1083)=89,"This candidate would like to receive Special","This candidate would not like to receive Special")</f>
        <v>This candidate would like to receive Special</v>
      </c>
      <c r="D1083" s="472"/>
      <c r="E1083" s="472"/>
      <c r="F1083" s="472"/>
      <c r="G1083" s="472"/>
      <c r="H1083" s="472"/>
      <c r="I1083" s="473"/>
      <c r="J1083" s="81"/>
      <c r="K1083" s="474" t="s">
        <v>207</v>
      </c>
      <c r="L1083" s="474"/>
      <c r="M1083" s="475"/>
      <c r="N1083" s="51" t="str">
        <f>IF($P$33&gt;=31,31,"")</f>
        <v/>
      </c>
      <c r="O1083" s="62" t="s">
        <v>52</v>
      </c>
      <c r="P1083" s="51" t="str">
        <f>IF($P$33&gt;=31,$P$33,"")</f>
        <v/>
      </c>
      <c r="Q1083" s="63"/>
      <c r="R1083" s="64"/>
    </row>
    <row r="1084" spans="1:18" ht="12" customHeight="1" x14ac:dyDescent="0.2">
      <c r="A1084" s="83"/>
      <c r="B1084" s="470"/>
      <c r="C1084" s="476" t="str">
        <f>IF(CODE(B1083)=89,"Announcements and Bulletins from RAD Canada","Announcements and Bulletins from RAD Canada")</f>
        <v>Announcements and Bulletins from RAD Canada</v>
      </c>
      <c r="D1084" s="477"/>
      <c r="E1084" s="477"/>
      <c r="F1084" s="477"/>
      <c r="G1084" s="477"/>
      <c r="H1084" s="477"/>
      <c r="I1084" s="478"/>
      <c r="J1084" s="479"/>
      <c r="K1084" s="400"/>
      <c r="L1084" s="400"/>
      <c r="M1084" s="400"/>
      <c r="N1084" s="400"/>
      <c r="O1084" s="400"/>
      <c r="P1084" s="400"/>
      <c r="Q1084" s="63"/>
      <c r="R1084" s="64"/>
    </row>
    <row r="1085" spans="1:18" x14ac:dyDescent="0.2">
      <c r="A1085" s="83"/>
      <c r="B1085" s="81"/>
      <c r="C1085" s="81"/>
      <c r="D1085" s="81"/>
      <c r="E1085" s="81"/>
      <c r="F1085" s="81"/>
      <c r="G1085" s="81"/>
      <c r="H1085" s="81"/>
      <c r="I1085" s="81"/>
      <c r="J1085" s="81"/>
      <c r="K1085" s="81"/>
      <c r="L1085" s="81"/>
      <c r="M1085" s="81"/>
      <c r="N1085" s="81"/>
      <c r="O1085" s="81"/>
      <c r="P1085" s="81"/>
      <c r="Q1085" s="63"/>
      <c r="R1085" s="64"/>
    </row>
    <row r="1086" spans="1:18" x14ac:dyDescent="0.2">
      <c r="A1086" s="83"/>
      <c r="B1086" s="62"/>
      <c r="C1086" s="62"/>
      <c r="D1086" s="62"/>
      <c r="E1086" s="62"/>
      <c r="F1086" s="62"/>
      <c r="G1086" s="62"/>
      <c r="H1086" s="62"/>
      <c r="I1086" s="62"/>
      <c r="J1086" s="62"/>
      <c r="K1086" s="62"/>
      <c r="L1086" s="62"/>
      <c r="M1086" s="62"/>
      <c r="N1086" s="62"/>
      <c r="O1086" s="62"/>
      <c r="P1086" s="62"/>
      <c r="Q1086" s="63"/>
      <c r="R1086" s="64"/>
    </row>
    <row r="1087" spans="1:18" x14ac:dyDescent="0.2">
      <c r="A1087" s="83"/>
      <c r="B1087" s="401" t="s">
        <v>140</v>
      </c>
      <c r="C1087" s="402"/>
      <c r="D1087" s="402"/>
      <c r="E1087" s="402"/>
      <c r="F1087" s="402"/>
      <c r="G1087" s="402"/>
      <c r="H1087" s="62"/>
      <c r="I1087" s="62"/>
      <c r="J1087" s="62"/>
      <c r="K1087" s="62"/>
      <c r="L1087" s="62"/>
      <c r="M1087" s="62"/>
      <c r="N1087" s="62"/>
      <c r="O1087" s="62"/>
      <c r="P1087" s="62"/>
      <c r="Q1087" s="63"/>
      <c r="R1087" s="64"/>
    </row>
    <row r="1088" spans="1:18" ht="15.75" x14ac:dyDescent="0.25">
      <c r="A1088" s="83"/>
      <c r="B1088" s="402"/>
      <c r="C1088" s="402"/>
      <c r="D1088" s="402"/>
      <c r="E1088" s="402"/>
      <c r="F1088" s="402"/>
      <c r="G1088" s="402"/>
      <c r="H1088" s="82"/>
      <c r="I1088" s="403"/>
      <c r="J1088" s="403"/>
      <c r="K1088" s="403"/>
      <c r="L1088" s="403"/>
      <c r="M1088" s="403"/>
      <c r="N1088" s="403"/>
      <c r="O1088" s="403"/>
      <c r="P1088" s="403"/>
      <c r="Q1088" s="63"/>
      <c r="R1088" s="64"/>
    </row>
    <row r="1089" spans="1:20" x14ac:dyDescent="0.2">
      <c r="A1089" s="83"/>
      <c r="B1089" s="400"/>
      <c r="C1089" s="400"/>
      <c r="D1089" s="400"/>
      <c r="E1089" s="400"/>
      <c r="F1089" s="400"/>
      <c r="G1089" s="400"/>
      <c r="H1089" s="400"/>
      <c r="I1089" s="400"/>
      <c r="J1089" s="400"/>
      <c r="K1089" s="400"/>
      <c r="L1089" s="400"/>
      <c r="M1089" s="403"/>
      <c r="N1089" s="403"/>
      <c r="O1089" s="403"/>
      <c r="P1089" s="403"/>
      <c r="Q1089" s="63"/>
      <c r="R1089" s="64"/>
    </row>
    <row r="1090" spans="1:20" x14ac:dyDescent="0.2">
      <c r="A1090" s="83"/>
      <c r="B1090" s="404" t="s">
        <v>260</v>
      </c>
      <c r="C1090" s="404"/>
      <c r="D1090" s="404"/>
      <c r="E1090" s="404"/>
      <c r="F1090" s="400"/>
      <c r="G1090" s="400"/>
      <c r="H1090" s="400"/>
      <c r="I1090" s="400"/>
      <c r="J1090" s="400"/>
      <c r="K1090" s="400"/>
      <c r="L1090" s="400"/>
      <c r="M1090" s="403"/>
      <c r="N1090" s="403"/>
      <c r="O1090" s="403"/>
      <c r="P1090" s="403"/>
      <c r="Q1090" s="63"/>
      <c r="R1090" s="64"/>
    </row>
    <row r="1091" spans="1:20" x14ac:dyDescent="0.2">
      <c r="A1091" s="83"/>
      <c r="B1091" s="69"/>
      <c r="C1091" s="324" t="s">
        <v>75</v>
      </c>
      <c r="D1091" s="408"/>
      <c r="E1091" s="409"/>
      <c r="F1091" s="400"/>
      <c r="G1091" s="400"/>
      <c r="H1091" s="400"/>
      <c r="I1091" s="400"/>
      <c r="J1091" s="400"/>
      <c r="K1091" s="400"/>
      <c r="L1091" s="400"/>
      <c r="M1091" s="70"/>
      <c r="N1091" s="70"/>
      <c r="O1091" s="70"/>
      <c r="P1091" s="70"/>
      <c r="Q1091" s="63"/>
      <c r="R1091" s="64"/>
    </row>
    <row r="1092" spans="1:20" x14ac:dyDescent="0.2">
      <c r="A1092" s="83"/>
      <c r="B1092" s="71"/>
      <c r="C1092" s="324" t="s">
        <v>128</v>
      </c>
      <c r="D1092" s="408"/>
      <c r="E1092" s="409"/>
      <c r="F1092" s="400"/>
      <c r="G1092" s="400"/>
      <c r="H1092" s="400"/>
      <c r="I1092" s="400"/>
      <c r="J1092" s="400"/>
      <c r="K1092" s="400"/>
      <c r="L1092" s="400"/>
      <c r="M1092" s="407" t="s">
        <v>256</v>
      </c>
      <c r="N1092" s="407"/>
      <c r="O1092" s="407"/>
      <c r="P1092" s="407"/>
      <c r="Q1092" s="63"/>
      <c r="R1092" s="64"/>
    </row>
    <row r="1093" spans="1:20" x14ac:dyDescent="0.2">
      <c r="A1093" s="83"/>
      <c r="B1093" s="56"/>
      <c r="C1093" s="324" t="s">
        <v>141</v>
      </c>
      <c r="D1093" s="408"/>
      <c r="E1093" s="409"/>
      <c r="F1093" s="400"/>
      <c r="G1093" s="400"/>
      <c r="H1093" s="400"/>
      <c r="I1093" s="400"/>
      <c r="J1093" s="400"/>
      <c r="K1093" s="400"/>
      <c r="L1093" s="400"/>
      <c r="M1093" s="407"/>
      <c r="N1093" s="407"/>
      <c r="O1093" s="407"/>
      <c r="P1093" s="407"/>
      <c r="Q1093" s="63"/>
      <c r="R1093" s="64"/>
    </row>
    <row r="1094" spans="1:20" x14ac:dyDescent="0.2">
      <c r="A1094" s="83"/>
      <c r="B1094" s="520"/>
      <c r="C1094" s="520"/>
      <c r="D1094" s="520"/>
      <c r="E1094" s="520"/>
      <c r="F1094" s="520"/>
      <c r="G1094" s="520"/>
      <c r="H1094" s="520"/>
      <c r="I1094" s="520"/>
      <c r="J1094" s="520"/>
      <c r="K1094" s="520"/>
      <c r="L1094" s="520"/>
      <c r="M1094" s="520"/>
      <c r="N1094" s="520"/>
      <c r="O1094" s="520"/>
      <c r="P1094" s="520"/>
      <c r="Q1094" s="63"/>
      <c r="R1094" s="64"/>
    </row>
    <row r="1095" spans="1:20" x14ac:dyDescent="0.2">
      <c r="A1095" s="83"/>
      <c r="B1095" s="432" t="s">
        <v>117</v>
      </c>
      <c r="C1095" s="433"/>
      <c r="D1095" s="434"/>
      <c r="E1095" s="442" t="str">
        <f>IF(AND($P$33&gt;=32,NOT(ISBLANK($E$10))),$E$10,"")</f>
        <v/>
      </c>
      <c r="F1095" s="443"/>
      <c r="G1095" s="444"/>
      <c r="H1095" s="414" t="s">
        <v>124</v>
      </c>
      <c r="I1095" s="415"/>
      <c r="J1095" s="442" t="str">
        <f>IF(AND($P$33&gt;=32,NOT(ISBLANK($J$10))),$J$10,"")</f>
        <v/>
      </c>
      <c r="K1095" s="443"/>
      <c r="L1095" s="444"/>
      <c r="M1095" s="414" t="s">
        <v>118</v>
      </c>
      <c r="N1095" s="415"/>
      <c r="O1095" s="430" t="str">
        <f>IF(AND($P$33&gt;=32,NOT(ISBLANK($O$10))),$O$10,"")</f>
        <v/>
      </c>
      <c r="P1095" s="521"/>
      <c r="Q1095" s="63"/>
      <c r="R1095" s="545" t="s">
        <v>307</v>
      </c>
      <c r="S1095" s="546"/>
      <c r="T1095" s="547"/>
    </row>
    <row r="1096" spans="1:20" x14ac:dyDescent="0.2">
      <c r="A1096" s="83"/>
      <c r="B1096" s="432" t="s">
        <v>240</v>
      </c>
      <c r="C1096" s="433"/>
      <c r="D1096" s="434"/>
      <c r="E1096" s="435" t="str">
        <f>IF(NOT($N1118=32),"",IF(ISERROR(LOOKUP(32,'Teacher Summary Sheet'!$M$19:$M$181)),"",IF(VLOOKUP(32,'Teacher Summary Sheet'!$M$19:$R$181,2)=0,"",VLOOKUP(32,'Teacher Summary Sheet'!$M$19:$R$181,2))))</f>
        <v/>
      </c>
      <c r="F1096" s="436"/>
      <c r="G1096" s="437"/>
      <c r="H1096" s="438" t="s">
        <v>119</v>
      </c>
      <c r="I1096" s="439"/>
      <c r="J1096" s="102" t="str">
        <f>IF(NOT($N1118=32),"",IF(ISERROR(LOOKUP(32,'Teacher Summary Sheet'!$M$19:$M$181)),"",IF(VLOOKUP(32,'Teacher Summary Sheet'!$M$19:$R$181,6)=0,"",VLOOKUP(32,'Teacher Summary Sheet'!$M$19:$R$181,6))))</f>
        <v/>
      </c>
      <c r="K1096" s="414" t="s">
        <v>179</v>
      </c>
      <c r="L1096" s="419"/>
      <c r="M1096" s="415"/>
      <c r="N1096" s="412" t="str">
        <f>IF(NOT($N1118=32),"",IF(ISERROR(LOOKUP(32,'Teacher Summary Sheet'!$M$19:$M$181)),"",IF('Teacher Summary Sheet'!$F$31=0,"",'Teacher Summary Sheet'!$F$31)))</f>
        <v/>
      </c>
      <c r="O1096" s="440"/>
      <c r="P1096" s="413"/>
      <c r="Q1096" s="63"/>
      <c r="R1096" s="548"/>
      <c r="S1096" s="549"/>
      <c r="T1096" s="550"/>
    </row>
    <row r="1097" spans="1:20" ht="14.25" x14ac:dyDescent="0.2">
      <c r="A1097" s="83"/>
      <c r="B1097" s="410" t="s">
        <v>241</v>
      </c>
      <c r="C1097" s="420"/>
      <c r="D1097" s="411"/>
      <c r="E1097" s="421" t="str">
        <f>IF(NOT($N1118=32),"",IF(ISERROR(LOOKUP(32,'Teacher Summary Sheet'!$M$19:$M$181)),"",IF(VLOOKUP(32,'Teacher Summary Sheet'!$M$19:$R$181,3)=0,"",VLOOKUP(32,'Teacher Summary Sheet'!$M$19:$R$181,3))))</f>
        <v/>
      </c>
      <c r="F1097" s="422"/>
      <c r="G1097" s="422"/>
      <c r="H1097" s="422"/>
      <c r="I1097" s="423"/>
      <c r="J1097" s="414" t="s">
        <v>124</v>
      </c>
      <c r="K1097" s="415"/>
      <c r="L1097" s="424" t="str">
        <f>IF(NOT($N1118=32),"",IF(ISERROR(LOOKUP(32,'Teacher Summary Sheet'!$M$19:$M$181)),"",IF(VLOOKUP(32,'Teacher Summary Sheet'!$M$19:$R$181,4)=0,"",VLOOKUP(32,'Teacher Summary Sheet'!$M$19:$R$181,4))))</f>
        <v/>
      </c>
      <c r="M1097" s="425"/>
      <c r="N1097" s="425"/>
      <c r="O1097" s="425"/>
      <c r="P1097" s="426"/>
      <c r="Q1097" s="63"/>
      <c r="R1097" s="125" t="str">
        <f>IF(NOT(N1118=32),"",IF(COUNTIF(R1099:R1105,"P")=7,"P","O"))</f>
        <v/>
      </c>
      <c r="S1097" s="110" t="str">
        <f>IF(NOT(N1118=32),"",IF(COUNTIF(R1099:R1105,"P")=7,"Complete","Incomplete"))</f>
        <v/>
      </c>
      <c r="T1097" s="111"/>
    </row>
    <row r="1098" spans="1:20" x14ac:dyDescent="0.2">
      <c r="A1098" s="83"/>
      <c r="B1098" s="410" t="s">
        <v>120</v>
      </c>
      <c r="C1098" s="420"/>
      <c r="D1098" s="411"/>
      <c r="E1098" s="427"/>
      <c r="F1098" s="428"/>
      <c r="G1098" s="428"/>
      <c r="H1098" s="428"/>
      <c r="I1098" s="428"/>
      <c r="J1098" s="429"/>
      <c r="K1098" s="62" t="s">
        <v>121</v>
      </c>
      <c r="L1098" s="427"/>
      <c r="M1098" s="428"/>
      <c r="N1098" s="428"/>
      <c r="O1098" s="428"/>
      <c r="P1098" s="429"/>
      <c r="Q1098" s="63"/>
    </row>
    <row r="1099" spans="1:20" ht="14.25" x14ac:dyDescent="0.2">
      <c r="A1099" s="83"/>
      <c r="B1099" s="410" t="s">
        <v>196</v>
      </c>
      <c r="C1099" s="420"/>
      <c r="D1099" s="411"/>
      <c r="E1099" s="427"/>
      <c r="F1099" s="428"/>
      <c r="G1099" s="428"/>
      <c r="H1099" s="428"/>
      <c r="I1099" s="429"/>
      <c r="J1099" s="73" t="s">
        <v>197</v>
      </c>
      <c r="K1099" s="405"/>
      <c r="L1099" s="406"/>
      <c r="M1099" s="414" t="s">
        <v>212</v>
      </c>
      <c r="N1099" s="415"/>
      <c r="O1099" s="405"/>
      <c r="P1099" s="406"/>
      <c r="Q1099" s="63"/>
      <c r="R1099" s="124" t="str">
        <f>IF(NOT(N1118=32),"",IF(OR(COUNTBLANK(E1097:E1097)=1,COUNTBLANK(L1097:L1097)=1),"O","P"))</f>
        <v/>
      </c>
      <c r="S1099" s="108" t="str">
        <f>IF(NOT(N1118=32),"","Candidate Name")</f>
        <v/>
      </c>
      <c r="T1099" s="64"/>
    </row>
    <row r="1100" spans="1:20" ht="14.25" x14ac:dyDescent="0.2">
      <c r="A1100" s="83"/>
      <c r="B1100" s="410" t="s">
        <v>198</v>
      </c>
      <c r="C1100" s="420"/>
      <c r="D1100" s="411"/>
      <c r="E1100" s="454"/>
      <c r="F1100" s="455"/>
      <c r="G1100" s="455"/>
      <c r="H1100" s="456"/>
      <c r="I1100" s="74" t="s">
        <v>199</v>
      </c>
      <c r="J1100" s="427"/>
      <c r="K1100" s="428"/>
      <c r="L1100" s="428"/>
      <c r="M1100" s="428"/>
      <c r="N1100" s="428"/>
      <c r="O1100" s="428"/>
      <c r="P1100" s="429"/>
      <c r="Q1100" s="63"/>
      <c r="R1100" s="124" t="str">
        <f>IF(NOT(N1118=32),"",IF(COUNTBLANK(E1096:E1096)=1,"O","P"))</f>
        <v/>
      </c>
      <c r="S1100" s="108" t="str">
        <f>IF(NOT(N1118=32),"","Candidate ID")</f>
        <v/>
      </c>
      <c r="T1100" s="64"/>
    </row>
    <row r="1101" spans="1:20" ht="14.25" x14ac:dyDescent="0.2">
      <c r="A1101" s="83"/>
      <c r="B1101" s="410" t="s">
        <v>227</v>
      </c>
      <c r="C1101" s="420"/>
      <c r="D1101" s="411"/>
      <c r="E1101" s="75" t="s">
        <v>218</v>
      </c>
      <c r="F1101" s="405"/>
      <c r="G1101" s="448"/>
      <c r="H1101" s="75" t="s">
        <v>138</v>
      </c>
      <c r="I1101" s="449"/>
      <c r="J1101" s="450"/>
      <c r="K1101" s="76" t="s">
        <v>139</v>
      </c>
      <c r="L1101" s="451"/>
      <c r="M1101" s="452"/>
      <c r="N1101" s="76" t="s">
        <v>228</v>
      </c>
      <c r="O1101" s="453" t="str">
        <f ca="1">IF(OR(ISBLANK(L1101),ISBLANK(I1101),ISBLANK(F1101),COUNTBLANK(J1096:J1096)=1),"",IF(DATEDIF(DATE(L1101,VLOOKUP(I1101,data!$T$2:$U$13,2,FALSE),F1101),IF(AND(TODAY()&lt;data!$AJ$12,TODAY()&gt;data!$AI$12),data!$AI$3,data!$AJ$3),"Y")&gt;=data!$AC$34,YEAR(TODAY())-L1101,data!$AD$3))</f>
        <v/>
      </c>
      <c r="P1101" s="413"/>
      <c r="Q1101" s="63"/>
      <c r="R1101" s="124" t="str">
        <f>IF(NOT(N1118=32),"",IF(OR(ISBLANK(E1098),ISBLANK(L1098),ISBLANK(K1099),ISBLANK(O1099)),"O","P"))</f>
        <v/>
      </c>
      <c r="S1101" s="108" t="str">
        <f>IF(NOT(N1118=32),"","Address")</f>
        <v/>
      </c>
      <c r="T1101" s="64"/>
    </row>
    <row r="1102" spans="1:20" ht="15" thickBot="1" x14ac:dyDescent="0.25">
      <c r="A1102" s="83"/>
      <c r="B1102" s="410" t="s">
        <v>214</v>
      </c>
      <c r="C1102" s="411"/>
      <c r="D1102" s="412" t="str">
        <f>IF(NOT($N1118=32),"",IF(ISERROR(LOOKUP(32,'Teacher Summary Sheet'!$M$19:$M$181)),"",IF(VLOOKUP(32,'Teacher Summary Sheet'!$M$19:$R$181,5)=0,"",VLOOKUP(32,'Teacher Summary Sheet'!$M$19:$R$181,5))))</f>
        <v/>
      </c>
      <c r="E1102" s="413"/>
      <c r="F1102" s="414" t="s">
        <v>319</v>
      </c>
      <c r="G1102" s="415"/>
      <c r="H1102" s="416"/>
      <c r="I1102" s="417"/>
      <c r="J1102" s="418"/>
      <c r="K1102" s="414" t="s">
        <v>320</v>
      </c>
      <c r="L1102" s="419"/>
      <c r="M1102" s="419"/>
      <c r="N1102" s="415"/>
      <c r="O1102" s="405" t="s">
        <v>268</v>
      </c>
      <c r="P1102" s="406"/>
      <c r="Q1102" s="63"/>
      <c r="R1102" s="124" t="str">
        <f>IF(NOT(N1118=32),"",IF(OR(ISBLANK(F1101),ISBLANK(I1101),ISBLANK(L1101)),"O","P"))</f>
        <v/>
      </c>
      <c r="S1102" s="108" t="str">
        <f>IF(NOT(N1118=32),"","Date of Birth")</f>
        <v/>
      </c>
      <c r="T1102" s="64"/>
    </row>
    <row r="1103" spans="1:20" ht="14.25" x14ac:dyDescent="0.2">
      <c r="A1103" s="83"/>
      <c r="B1103" s="522" t="s">
        <v>297</v>
      </c>
      <c r="C1103" s="463"/>
      <c r="D1103" s="463"/>
      <c r="E1103" s="463"/>
      <c r="F1103" s="463"/>
      <c r="G1103" s="463"/>
      <c r="H1103" s="463"/>
      <c r="I1103" s="463"/>
      <c r="J1103" s="463"/>
      <c r="K1103" s="463"/>
      <c r="L1103" s="463"/>
      <c r="M1103" s="463"/>
      <c r="N1103" s="463"/>
      <c r="O1103" s="463"/>
      <c r="P1103" s="464"/>
      <c r="Q1103" s="63"/>
      <c r="R1103" s="124" t="str">
        <f>IF(NOT(N1118=32),"",IF(COUNTBLANK(J1096:J1096)=1,"O","P"))</f>
        <v/>
      </c>
      <c r="S1103" s="112" t="str">
        <f>IF(NOT(N1118=32),"","Exam Level")</f>
        <v/>
      </c>
      <c r="T1103" s="64"/>
    </row>
    <row r="1104" spans="1:20" ht="14.25" x14ac:dyDescent="0.2">
      <c r="A1104" s="83"/>
      <c r="B1104" s="465"/>
      <c r="C1104" s="466"/>
      <c r="D1104" s="466"/>
      <c r="E1104" s="466"/>
      <c r="F1104" s="466"/>
      <c r="G1104" s="466"/>
      <c r="H1104" s="466"/>
      <c r="I1104" s="466"/>
      <c r="J1104" s="466"/>
      <c r="K1104" s="466"/>
      <c r="L1104" s="466"/>
      <c r="M1104" s="466"/>
      <c r="N1104" s="466"/>
      <c r="O1104" s="466"/>
      <c r="P1104" s="467"/>
      <c r="Q1104" s="63"/>
      <c r="R1104" s="124" t="str">
        <f>IF(NOT(N1118=32),"",IF(COUNTBLANK(D1102:D1102)=1,"O","P"))</f>
        <v/>
      </c>
      <c r="S1104" s="109" t="str">
        <f>IF(NOT(N1118=32),"","Gender")</f>
        <v/>
      </c>
      <c r="T1104" s="64"/>
    </row>
    <row r="1105" spans="1:20" ht="14.25" x14ac:dyDescent="0.2">
      <c r="A1105" s="83"/>
      <c r="B1105" s="432" t="s">
        <v>298</v>
      </c>
      <c r="C1105" s="433"/>
      <c r="D1105" s="434"/>
      <c r="E1105" s="405"/>
      <c r="F1105" s="406"/>
      <c r="G1105" s="432" t="s">
        <v>299</v>
      </c>
      <c r="H1105" s="433"/>
      <c r="I1105" s="434"/>
      <c r="J1105" s="405"/>
      <c r="K1105" s="448"/>
      <c r="L1105" s="406"/>
      <c r="M1105" s="414" t="s">
        <v>300</v>
      </c>
      <c r="N1105" s="415"/>
      <c r="O1105" s="457"/>
      <c r="P1105" s="458"/>
      <c r="Q1105" s="63"/>
      <c r="R1105" s="124" t="str">
        <f>IF(NOT(N1118=32),"",IF(ISBLANK(H1102),"O","P"))</f>
        <v/>
      </c>
      <c r="S1105" s="109" t="str">
        <f>IF(NOT(N1118=32),"","Height")</f>
        <v/>
      </c>
      <c r="T1105" s="64"/>
    </row>
    <row r="1106" spans="1:20" x14ac:dyDescent="0.2">
      <c r="A1106" s="83"/>
      <c r="B1106" s="77" t="s">
        <v>153</v>
      </c>
      <c r="C1106" s="405"/>
      <c r="D1106" s="406"/>
      <c r="E1106" s="414" t="s">
        <v>301</v>
      </c>
      <c r="F1106" s="415"/>
      <c r="G1106" s="459"/>
      <c r="H1106" s="460"/>
      <c r="I1106" s="461"/>
      <c r="J1106" s="414" t="s">
        <v>302</v>
      </c>
      <c r="K1106" s="415"/>
      <c r="L1106" s="454"/>
      <c r="M1106" s="455"/>
      <c r="N1106" s="455"/>
      <c r="O1106" s="455"/>
      <c r="P1106" s="456"/>
      <c r="Q1106" s="63"/>
      <c r="R1106" s="64"/>
      <c r="S1106" s="64"/>
      <c r="T1106" s="64"/>
    </row>
    <row r="1107" spans="1:20" x14ac:dyDescent="0.2">
      <c r="A1107" s="83"/>
      <c r="B1107" s="410" t="s">
        <v>116</v>
      </c>
      <c r="C1107" s="420"/>
      <c r="D1107" s="420"/>
      <c r="E1107" s="420"/>
      <c r="F1107" s="420"/>
      <c r="G1107" s="420"/>
      <c r="H1107" s="420"/>
      <c r="I1107" s="420"/>
      <c r="J1107" s="420"/>
      <c r="K1107" s="420"/>
      <c r="L1107" s="420"/>
      <c r="M1107" s="420"/>
      <c r="N1107" s="420"/>
      <c r="O1107" s="420"/>
      <c r="P1107" s="411"/>
      <c r="Q1107" s="63"/>
      <c r="R1107" s="64"/>
      <c r="S1107" s="64"/>
      <c r="T1107" s="64"/>
    </row>
    <row r="1108" spans="1:20" x14ac:dyDescent="0.2">
      <c r="A1108" s="83"/>
      <c r="B1108" s="410" t="s">
        <v>298</v>
      </c>
      <c r="C1108" s="420"/>
      <c r="D1108" s="411"/>
      <c r="E1108" s="405"/>
      <c r="F1108" s="406"/>
      <c r="G1108" s="410" t="s">
        <v>299</v>
      </c>
      <c r="H1108" s="420"/>
      <c r="I1108" s="411"/>
      <c r="J1108" s="454"/>
      <c r="K1108" s="455"/>
      <c r="L1108" s="456"/>
      <c r="M1108" s="414" t="s">
        <v>300</v>
      </c>
      <c r="N1108" s="415"/>
      <c r="O1108" s="457"/>
      <c r="P1108" s="458"/>
      <c r="Q1108" s="63"/>
      <c r="R1108" s="64"/>
    </row>
    <row r="1109" spans="1:20" ht="13.5" thickBot="1" x14ac:dyDescent="0.25">
      <c r="A1109" s="83"/>
      <c r="B1109" s="78" t="s">
        <v>153</v>
      </c>
      <c r="C1109" s="492"/>
      <c r="D1109" s="493"/>
      <c r="E1109" s="494" t="s">
        <v>301</v>
      </c>
      <c r="F1109" s="495"/>
      <c r="G1109" s="496"/>
      <c r="H1109" s="497"/>
      <c r="I1109" s="498"/>
      <c r="J1109" s="414" t="s">
        <v>302</v>
      </c>
      <c r="K1109" s="415"/>
      <c r="L1109" s="454"/>
      <c r="M1109" s="455"/>
      <c r="N1109" s="455"/>
      <c r="O1109" s="455"/>
      <c r="P1109" s="456"/>
      <c r="Q1109" s="63"/>
      <c r="R1109" s="64"/>
    </row>
    <row r="1110" spans="1:20" x14ac:dyDescent="0.2">
      <c r="A1110" s="83"/>
      <c r="B1110" s="499" t="s">
        <v>126</v>
      </c>
      <c r="C1110" s="500"/>
      <c r="D1110" s="500"/>
      <c r="E1110" s="500"/>
      <c r="F1110" s="500"/>
      <c r="G1110" s="500"/>
      <c r="H1110" s="500"/>
      <c r="I1110" s="501"/>
      <c r="J1110" s="505"/>
      <c r="K1110" s="506"/>
      <c r="L1110" s="506"/>
      <c r="M1110" s="506"/>
      <c r="N1110" s="506"/>
      <c r="O1110" s="506"/>
      <c r="P1110" s="507"/>
      <c r="Q1110" s="63"/>
      <c r="R1110" s="64"/>
    </row>
    <row r="1111" spans="1:20" x14ac:dyDescent="0.2">
      <c r="A1111" s="83"/>
      <c r="B1111" s="502"/>
      <c r="C1111" s="503"/>
      <c r="D1111" s="503"/>
      <c r="E1111" s="503"/>
      <c r="F1111" s="503"/>
      <c r="G1111" s="503"/>
      <c r="H1111" s="503"/>
      <c r="I1111" s="504"/>
      <c r="J1111" s="508"/>
      <c r="K1111" s="509"/>
      <c r="L1111" s="509"/>
      <c r="M1111" s="509"/>
      <c r="N1111" s="509"/>
      <c r="O1111" s="509"/>
      <c r="P1111" s="510"/>
      <c r="Q1111" s="63"/>
      <c r="R1111" s="64"/>
    </row>
    <row r="1112" spans="1:20" x14ac:dyDescent="0.2">
      <c r="A1112" s="83"/>
      <c r="B1112" s="514" t="s">
        <v>127</v>
      </c>
      <c r="C1112" s="515"/>
      <c r="D1112" s="515"/>
      <c r="E1112" s="515"/>
      <c r="F1112" s="515"/>
      <c r="G1112" s="515"/>
      <c r="H1112" s="515"/>
      <c r="I1112" s="516"/>
      <c r="J1112" s="508"/>
      <c r="K1112" s="509"/>
      <c r="L1112" s="509"/>
      <c r="M1112" s="509"/>
      <c r="N1112" s="509"/>
      <c r="O1112" s="509"/>
      <c r="P1112" s="510"/>
      <c r="Q1112" s="63"/>
      <c r="R1112" s="64"/>
    </row>
    <row r="1113" spans="1:20" ht="13.5" thickBot="1" x14ac:dyDescent="0.25">
      <c r="A1113" s="83"/>
      <c r="B1113" s="517"/>
      <c r="C1113" s="518"/>
      <c r="D1113" s="518"/>
      <c r="E1113" s="518"/>
      <c r="F1113" s="518"/>
      <c r="G1113" s="518"/>
      <c r="H1113" s="518"/>
      <c r="I1113" s="519"/>
      <c r="J1113" s="511"/>
      <c r="K1113" s="512"/>
      <c r="L1113" s="512"/>
      <c r="M1113" s="512"/>
      <c r="N1113" s="512"/>
      <c r="O1113" s="512"/>
      <c r="P1113" s="513"/>
      <c r="Q1113" s="63"/>
      <c r="R1113" s="64"/>
    </row>
    <row r="1114" spans="1:20" x14ac:dyDescent="0.2">
      <c r="A1114" s="83"/>
      <c r="B1114" s="480" t="s">
        <v>10</v>
      </c>
      <c r="C1114" s="481"/>
      <c r="D1114" s="481"/>
      <c r="E1114" s="481"/>
      <c r="F1114" s="481"/>
      <c r="G1114" s="481"/>
      <c r="H1114" s="481"/>
      <c r="I1114" s="482"/>
      <c r="J1114" s="79">
        <v>1</v>
      </c>
      <c r="K1114" s="483"/>
      <c r="L1114" s="484"/>
      <c r="M1114" s="484"/>
      <c r="N1114" s="484"/>
      <c r="O1114" s="484"/>
      <c r="P1114" s="485"/>
      <c r="Q1114" s="63"/>
      <c r="R1114" s="64"/>
    </row>
    <row r="1115" spans="1:20" x14ac:dyDescent="0.2">
      <c r="A1115" s="83"/>
      <c r="B1115" s="486" t="s">
        <v>276</v>
      </c>
      <c r="C1115" s="487"/>
      <c r="D1115" s="487"/>
      <c r="E1115" s="487"/>
      <c r="F1115" s="487"/>
      <c r="G1115" s="487"/>
      <c r="H1115" s="487"/>
      <c r="I1115" s="488"/>
      <c r="J1115" s="80">
        <v>2</v>
      </c>
      <c r="K1115" s="454"/>
      <c r="L1115" s="455"/>
      <c r="M1115" s="455"/>
      <c r="N1115" s="455"/>
      <c r="O1115" s="455"/>
      <c r="P1115" s="456"/>
      <c r="Q1115" s="63"/>
      <c r="R1115" s="64"/>
    </row>
    <row r="1116" spans="1:20" x14ac:dyDescent="0.2">
      <c r="A1116" s="83"/>
      <c r="B1116" s="489" t="s">
        <v>234</v>
      </c>
      <c r="C1116" s="490"/>
      <c r="D1116" s="490"/>
      <c r="E1116" s="490"/>
      <c r="F1116" s="490"/>
      <c r="G1116" s="490"/>
      <c r="H1116" s="490"/>
      <c r="I1116" s="491"/>
      <c r="J1116" s="80">
        <v>3</v>
      </c>
      <c r="K1116" s="454"/>
      <c r="L1116" s="455"/>
      <c r="M1116" s="455"/>
      <c r="N1116" s="455"/>
      <c r="O1116" s="455"/>
      <c r="P1116" s="456"/>
      <c r="Q1116" s="63"/>
      <c r="R1116" s="64"/>
    </row>
    <row r="1117" spans="1:20" x14ac:dyDescent="0.2">
      <c r="A1117" s="83"/>
      <c r="B1117" s="468"/>
      <c r="C1117" s="468"/>
      <c r="D1117" s="468"/>
      <c r="E1117" s="468"/>
      <c r="F1117" s="468"/>
      <c r="G1117" s="468"/>
      <c r="H1117" s="468"/>
      <c r="I1117" s="468"/>
      <c r="J1117" s="468"/>
      <c r="K1117" s="468"/>
      <c r="L1117" s="468"/>
      <c r="M1117" s="468"/>
      <c r="N1117" s="468"/>
      <c r="O1117" s="468"/>
      <c r="P1117" s="468"/>
      <c r="Q1117" s="63"/>
      <c r="R1117" s="64"/>
    </row>
    <row r="1118" spans="1:20" ht="12" customHeight="1" x14ac:dyDescent="0.2">
      <c r="A1118" s="83"/>
      <c r="B1118" s="469" t="s">
        <v>84</v>
      </c>
      <c r="C1118" s="471" t="str">
        <f>IF(CODE(B1118)=89,"This candidate would like to receive Special","This candidate would not like to receive Special")</f>
        <v>This candidate would like to receive Special</v>
      </c>
      <c r="D1118" s="472"/>
      <c r="E1118" s="472"/>
      <c r="F1118" s="472"/>
      <c r="G1118" s="472"/>
      <c r="H1118" s="472"/>
      <c r="I1118" s="473"/>
      <c r="J1118" s="81"/>
      <c r="K1118" s="474" t="s">
        <v>235</v>
      </c>
      <c r="L1118" s="474"/>
      <c r="M1118" s="475"/>
      <c r="N1118" s="51" t="str">
        <f>IF($P$33&gt;=32,32,"")</f>
        <v/>
      </c>
      <c r="O1118" s="62" t="s">
        <v>52</v>
      </c>
      <c r="P1118" s="51" t="str">
        <f>IF($P$33&gt;=32,$P$33,"")</f>
        <v/>
      </c>
      <c r="Q1118" s="63"/>
      <c r="R1118" s="64"/>
    </row>
    <row r="1119" spans="1:20" ht="12" customHeight="1" x14ac:dyDescent="0.2">
      <c r="A1119" s="83"/>
      <c r="B1119" s="470"/>
      <c r="C1119" s="476" t="str">
        <f>IF(CODE(B1118)=89,"Announcements and Bulletins from RAD Canada","Announcements and Bulletins from RAD Canada")</f>
        <v>Announcements and Bulletins from RAD Canada</v>
      </c>
      <c r="D1119" s="477"/>
      <c r="E1119" s="477"/>
      <c r="F1119" s="477"/>
      <c r="G1119" s="477"/>
      <c r="H1119" s="477"/>
      <c r="I1119" s="478"/>
      <c r="J1119" s="479"/>
      <c r="K1119" s="400"/>
      <c r="L1119" s="400"/>
      <c r="M1119" s="400"/>
      <c r="N1119" s="400"/>
      <c r="O1119" s="400"/>
      <c r="P1119" s="400"/>
      <c r="Q1119" s="63"/>
      <c r="R1119" s="64"/>
    </row>
    <row r="1120" spans="1:20" x14ac:dyDescent="0.2">
      <c r="A1120" s="83"/>
      <c r="B1120" s="81"/>
      <c r="C1120" s="81"/>
      <c r="D1120" s="81"/>
      <c r="E1120" s="81"/>
      <c r="F1120" s="81"/>
      <c r="G1120" s="81"/>
      <c r="H1120" s="81"/>
      <c r="I1120" s="81"/>
      <c r="J1120" s="81"/>
      <c r="K1120" s="81"/>
      <c r="L1120" s="81"/>
      <c r="M1120" s="81"/>
      <c r="N1120" s="81"/>
      <c r="O1120" s="81"/>
      <c r="P1120" s="81"/>
      <c r="Q1120" s="63"/>
      <c r="R1120" s="64"/>
    </row>
    <row r="1121" spans="1:20" x14ac:dyDescent="0.2">
      <c r="A1121" s="83"/>
      <c r="B1121" s="62"/>
      <c r="C1121" s="62"/>
      <c r="D1121" s="62"/>
      <c r="E1121" s="62"/>
      <c r="F1121" s="62"/>
      <c r="G1121" s="62"/>
      <c r="H1121" s="62"/>
      <c r="I1121" s="62"/>
      <c r="J1121" s="62"/>
      <c r="K1121" s="62"/>
      <c r="L1121" s="62"/>
      <c r="M1121" s="62"/>
      <c r="N1121" s="62"/>
      <c r="O1121" s="62"/>
      <c r="P1121" s="62"/>
      <c r="Q1121" s="63"/>
      <c r="R1121" s="64"/>
    </row>
    <row r="1122" spans="1:20" x14ac:dyDescent="0.2">
      <c r="A1122" s="83"/>
      <c r="B1122" s="401" t="s">
        <v>281</v>
      </c>
      <c r="C1122" s="402"/>
      <c r="D1122" s="402"/>
      <c r="E1122" s="402"/>
      <c r="F1122" s="402"/>
      <c r="G1122" s="402"/>
      <c r="H1122" s="62"/>
      <c r="I1122" s="62"/>
      <c r="J1122" s="62"/>
      <c r="K1122" s="62"/>
      <c r="L1122" s="62"/>
      <c r="M1122" s="62"/>
      <c r="N1122" s="62"/>
      <c r="O1122" s="62"/>
      <c r="P1122" s="62"/>
      <c r="Q1122" s="63"/>
      <c r="R1122" s="64"/>
    </row>
    <row r="1123" spans="1:20" ht="15.75" x14ac:dyDescent="0.25">
      <c r="A1123" s="83"/>
      <c r="B1123" s="402"/>
      <c r="C1123" s="402"/>
      <c r="D1123" s="402"/>
      <c r="E1123" s="402"/>
      <c r="F1123" s="402"/>
      <c r="G1123" s="402"/>
      <c r="H1123" s="82"/>
      <c r="I1123" s="403"/>
      <c r="J1123" s="403"/>
      <c r="K1123" s="403"/>
      <c r="L1123" s="403"/>
      <c r="M1123" s="403"/>
      <c r="N1123" s="403"/>
      <c r="O1123" s="403"/>
      <c r="P1123" s="403"/>
      <c r="Q1123" s="63"/>
      <c r="R1123" s="64"/>
    </row>
    <row r="1124" spans="1:20" x14ac:dyDescent="0.2">
      <c r="A1124" s="83"/>
      <c r="B1124" s="400"/>
      <c r="C1124" s="400"/>
      <c r="D1124" s="400"/>
      <c r="E1124" s="400"/>
      <c r="F1124" s="400"/>
      <c r="G1124" s="400"/>
      <c r="H1124" s="400"/>
      <c r="I1124" s="400"/>
      <c r="J1124" s="400"/>
      <c r="K1124" s="400"/>
      <c r="L1124" s="400"/>
      <c r="M1124" s="403"/>
      <c r="N1124" s="403"/>
      <c r="O1124" s="403"/>
      <c r="P1124" s="403"/>
      <c r="Q1124" s="63"/>
      <c r="R1124" s="64"/>
    </row>
    <row r="1125" spans="1:20" x14ac:dyDescent="0.2">
      <c r="A1125" s="83"/>
      <c r="B1125" s="404" t="s">
        <v>260</v>
      </c>
      <c r="C1125" s="404"/>
      <c r="D1125" s="404"/>
      <c r="E1125" s="404"/>
      <c r="F1125" s="400"/>
      <c r="G1125" s="400"/>
      <c r="H1125" s="400"/>
      <c r="I1125" s="400"/>
      <c r="J1125" s="400"/>
      <c r="K1125" s="400"/>
      <c r="L1125" s="400"/>
      <c r="M1125" s="403"/>
      <c r="N1125" s="403"/>
      <c r="O1125" s="403"/>
      <c r="P1125" s="403"/>
      <c r="Q1125" s="63"/>
      <c r="R1125" s="64"/>
    </row>
    <row r="1126" spans="1:20" x14ac:dyDescent="0.2">
      <c r="A1126" s="83"/>
      <c r="B1126" s="69"/>
      <c r="C1126" s="324" t="s">
        <v>75</v>
      </c>
      <c r="D1126" s="408"/>
      <c r="E1126" s="409"/>
      <c r="F1126" s="400"/>
      <c r="G1126" s="400"/>
      <c r="H1126" s="400"/>
      <c r="I1126" s="400"/>
      <c r="J1126" s="400"/>
      <c r="K1126" s="400"/>
      <c r="L1126" s="400"/>
      <c r="M1126" s="70"/>
      <c r="N1126" s="70"/>
      <c r="O1126" s="70"/>
      <c r="P1126" s="70"/>
      <c r="Q1126" s="63"/>
      <c r="R1126" s="64"/>
    </row>
    <row r="1127" spans="1:20" x14ac:dyDescent="0.2">
      <c r="A1127" s="83"/>
      <c r="B1127" s="71"/>
      <c r="C1127" s="324" t="s">
        <v>128</v>
      </c>
      <c r="D1127" s="408"/>
      <c r="E1127" s="409"/>
      <c r="F1127" s="400"/>
      <c r="G1127" s="400"/>
      <c r="H1127" s="400"/>
      <c r="I1127" s="400"/>
      <c r="J1127" s="400"/>
      <c r="K1127" s="400"/>
      <c r="L1127" s="400"/>
      <c r="M1127" s="407" t="s">
        <v>256</v>
      </c>
      <c r="N1127" s="407"/>
      <c r="O1127" s="407"/>
      <c r="P1127" s="407"/>
      <c r="Q1127" s="63"/>
      <c r="R1127" s="64"/>
    </row>
    <row r="1128" spans="1:20" x14ac:dyDescent="0.2">
      <c r="A1128" s="83"/>
      <c r="B1128" s="56"/>
      <c r="C1128" s="324" t="s">
        <v>282</v>
      </c>
      <c r="D1128" s="408"/>
      <c r="E1128" s="409"/>
      <c r="F1128" s="400"/>
      <c r="G1128" s="400"/>
      <c r="H1128" s="400"/>
      <c r="I1128" s="400"/>
      <c r="J1128" s="400"/>
      <c r="K1128" s="400"/>
      <c r="L1128" s="400"/>
      <c r="M1128" s="407"/>
      <c r="N1128" s="407"/>
      <c r="O1128" s="407"/>
      <c r="P1128" s="407"/>
      <c r="Q1128" s="63"/>
      <c r="R1128" s="64"/>
    </row>
    <row r="1129" spans="1:20" x14ac:dyDescent="0.2">
      <c r="A1129" s="83"/>
      <c r="B1129" s="520"/>
      <c r="C1129" s="520"/>
      <c r="D1129" s="520"/>
      <c r="E1129" s="520"/>
      <c r="F1129" s="520"/>
      <c r="G1129" s="520"/>
      <c r="H1129" s="520"/>
      <c r="I1129" s="520"/>
      <c r="J1129" s="520"/>
      <c r="K1129" s="520"/>
      <c r="L1129" s="520"/>
      <c r="M1129" s="520"/>
      <c r="N1129" s="520"/>
      <c r="O1129" s="520"/>
      <c r="P1129" s="520"/>
      <c r="Q1129" s="63"/>
      <c r="R1129" s="64"/>
    </row>
    <row r="1130" spans="1:20" x14ac:dyDescent="0.2">
      <c r="A1130" s="83"/>
      <c r="B1130" s="432" t="s">
        <v>117</v>
      </c>
      <c r="C1130" s="433"/>
      <c r="D1130" s="434"/>
      <c r="E1130" s="442" t="str">
        <f>IF(AND($P$33&gt;=33,NOT(ISBLANK($E$10))),$E$10,"")</f>
        <v/>
      </c>
      <c r="F1130" s="443"/>
      <c r="G1130" s="444"/>
      <c r="H1130" s="414" t="s">
        <v>124</v>
      </c>
      <c r="I1130" s="415"/>
      <c r="J1130" s="442" t="str">
        <f>IF(AND($P$33&gt;=33,NOT(ISBLANK($J$10))),$J$10,"")</f>
        <v/>
      </c>
      <c r="K1130" s="443"/>
      <c r="L1130" s="444"/>
      <c r="M1130" s="414" t="s">
        <v>118</v>
      </c>
      <c r="N1130" s="415"/>
      <c r="O1130" s="430" t="str">
        <f>IF(AND($P$33&gt;=33,NOT(ISBLANK($O$10))),$O$10,"")</f>
        <v/>
      </c>
      <c r="P1130" s="521"/>
      <c r="Q1130" s="63"/>
      <c r="R1130" s="545" t="s">
        <v>307</v>
      </c>
      <c r="S1130" s="546"/>
      <c r="T1130" s="547"/>
    </row>
    <row r="1131" spans="1:20" x14ac:dyDescent="0.2">
      <c r="A1131" s="83"/>
      <c r="B1131" s="432" t="s">
        <v>240</v>
      </c>
      <c r="C1131" s="433"/>
      <c r="D1131" s="434"/>
      <c r="E1131" s="435" t="str">
        <f>IF(NOT($N1153=33),"",IF(ISERROR(LOOKUP(33,'Teacher Summary Sheet'!$M$19:$M$181)),"",IF(VLOOKUP(33,'Teacher Summary Sheet'!$M$19:$R$181,2)=0,"",VLOOKUP(33,'Teacher Summary Sheet'!$M$19:$R$181,2))))</f>
        <v/>
      </c>
      <c r="F1131" s="436"/>
      <c r="G1131" s="437"/>
      <c r="H1131" s="438" t="s">
        <v>119</v>
      </c>
      <c r="I1131" s="439"/>
      <c r="J1131" s="102" t="str">
        <f>IF(NOT($N1153=33),"",IF(ISERROR(LOOKUP(33,'Teacher Summary Sheet'!$M$19:$M$181)),"",IF(VLOOKUP(33,'Teacher Summary Sheet'!$M$19:$R$181,6)=0,"",VLOOKUP(33,'Teacher Summary Sheet'!$M$19:$R$181,6))))</f>
        <v/>
      </c>
      <c r="K1131" s="414" t="s">
        <v>179</v>
      </c>
      <c r="L1131" s="419"/>
      <c r="M1131" s="415"/>
      <c r="N1131" s="412" t="str">
        <f>IF(NOT($N1153=33),"",IF(ISERROR(LOOKUP(33,'Teacher Summary Sheet'!$M$19:$M$181)),"",IF('Teacher Summary Sheet'!$F$31=0,"",'Teacher Summary Sheet'!$F$31)))</f>
        <v/>
      </c>
      <c r="O1131" s="440"/>
      <c r="P1131" s="413"/>
      <c r="Q1131" s="63"/>
      <c r="R1131" s="548"/>
      <c r="S1131" s="549"/>
      <c r="T1131" s="550"/>
    </row>
    <row r="1132" spans="1:20" ht="14.25" x14ac:dyDescent="0.2">
      <c r="A1132" s="83"/>
      <c r="B1132" s="410" t="s">
        <v>241</v>
      </c>
      <c r="C1132" s="420"/>
      <c r="D1132" s="411"/>
      <c r="E1132" s="421" t="str">
        <f>IF(NOT($N1153=33),"",IF(ISERROR(LOOKUP(33,'Teacher Summary Sheet'!$M$19:$M$181)),"",IF(VLOOKUP(33,'Teacher Summary Sheet'!$M$19:$R$181,3)=0,"",VLOOKUP(33,'Teacher Summary Sheet'!$M$19:$R$181,3))))</f>
        <v/>
      </c>
      <c r="F1132" s="422"/>
      <c r="G1132" s="422"/>
      <c r="H1132" s="422"/>
      <c r="I1132" s="423"/>
      <c r="J1132" s="414" t="s">
        <v>124</v>
      </c>
      <c r="K1132" s="415"/>
      <c r="L1132" s="424" t="str">
        <f>IF(NOT($N1153=33),"",IF(ISERROR(LOOKUP(33,'Teacher Summary Sheet'!$M$19:$M$181)),"",IF(VLOOKUP(33,'Teacher Summary Sheet'!$M$19:$R$181,4)=0,"",VLOOKUP(33,'Teacher Summary Sheet'!$M$19:$R$181,4))))</f>
        <v/>
      </c>
      <c r="M1132" s="425"/>
      <c r="N1132" s="425"/>
      <c r="O1132" s="425"/>
      <c r="P1132" s="426"/>
      <c r="Q1132" s="63"/>
      <c r="R1132" s="125" t="str">
        <f>IF(NOT(N1153=33),"",IF(COUNTIF(R1134:R1140,"P")=7,"P","O"))</f>
        <v/>
      </c>
      <c r="S1132" s="110" t="str">
        <f>IF(NOT(N1153=33),"",IF(COUNTIF(R1134:R1140,"P")=7,"Complete","Incomplete"))</f>
        <v/>
      </c>
      <c r="T1132" s="111"/>
    </row>
    <row r="1133" spans="1:20" x14ac:dyDescent="0.2">
      <c r="A1133" s="83"/>
      <c r="B1133" s="410" t="s">
        <v>120</v>
      </c>
      <c r="C1133" s="420"/>
      <c r="D1133" s="411"/>
      <c r="E1133" s="427"/>
      <c r="F1133" s="428"/>
      <c r="G1133" s="428"/>
      <c r="H1133" s="428"/>
      <c r="I1133" s="428"/>
      <c r="J1133" s="429"/>
      <c r="K1133" s="62" t="s">
        <v>121</v>
      </c>
      <c r="L1133" s="427"/>
      <c r="M1133" s="428"/>
      <c r="N1133" s="428"/>
      <c r="O1133" s="428"/>
      <c r="P1133" s="429"/>
      <c r="Q1133" s="63"/>
    </row>
    <row r="1134" spans="1:20" ht="14.25" x14ac:dyDescent="0.2">
      <c r="A1134" s="83"/>
      <c r="B1134" s="410" t="s">
        <v>196</v>
      </c>
      <c r="C1134" s="420"/>
      <c r="D1134" s="411"/>
      <c r="E1134" s="427"/>
      <c r="F1134" s="428"/>
      <c r="G1134" s="428"/>
      <c r="H1134" s="428"/>
      <c r="I1134" s="429"/>
      <c r="J1134" s="73" t="s">
        <v>197</v>
      </c>
      <c r="K1134" s="405"/>
      <c r="L1134" s="406"/>
      <c r="M1134" s="414" t="s">
        <v>212</v>
      </c>
      <c r="N1134" s="415"/>
      <c r="O1134" s="405"/>
      <c r="P1134" s="406"/>
      <c r="Q1134" s="63"/>
      <c r="R1134" s="124" t="str">
        <f>IF(NOT(N1153=33),"",IF(OR(COUNTBLANK(E1132:E1132)=1,COUNTBLANK(L1132:L1132)=1),"O","P"))</f>
        <v/>
      </c>
      <c r="S1134" s="108" t="str">
        <f>IF(NOT(N1153=33),"","Candidate Name")</f>
        <v/>
      </c>
      <c r="T1134" s="64"/>
    </row>
    <row r="1135" spans="1:20" ht="14.25" x14ac:dyDescent="0.2">
      <c r="A1135" s="83"/>
      <c r="B1135" s="410" t="s">
        <v>198</v>
      </c>
      <c r="C1135" s="420"/>
      <c r="D1135" s="411"/>
      <c r="E1135" s="454"/>
      <c r="F1135" s="455"/>
      <c r="G1135" s="455"/>
      <c r="H1135" s="456"/>
      <c r="I1135" s="74" t="s">
        <v>199</v>
      </c>
      <c r="J1135" s="427"/>
      <c r="K1135" s="428"/>
      <c r="L1135" s="428"/>
      <c r="M1135" s="428"/>
      <c r="N1135" s="428"/>
      <c r="O1135" s="428"/>
      <c r="P1135" s="429"/>
      <c r="Q1135" s="63"/>
      <c r="R1135" s="124" t="str">
        <f>IF(NOT(N1153=33),"",IF(COUNTBLANK(E1131:E1131)=1,"O","P"))</f>
        <v/>
      </c>
      <c r="S1135" s="108" t="str">
        <f>IF(NOT(N1153=33),"","Candidate ID")</f>
        <v/>
      </c>
      <c r="T1135" s="64"/>
    </row>
    <row r="1136" spans="1:20" ht="14.25" x14ac:dyDescent="0.2">
      <c r="A1136" s="83"/>
      <c r="B1136" s="410" t="s">
        <v>227</v>
      </c>
      <c r="C1136" s="420"/>
      <c r="D1136" s="411"/>
      <c r="E1136" s="75" t="s">
        <v>218</v>
      </c>
      <c r="F1136" s="405"/>
      <c r="G1136" s="448"/>
      <c r="H1136" s="75" t="s">
        <v>138</v>
      </c>
      <c r="I1136" s="449"/>
      <c r="J1136" s="450"/>
      <c r="K1136" s="76" t="s">
        <v>139</v>
      </c>
      <c r="L1136" s="451"/>
      <c r="M1136" s="452"/>
      <c r="N1136" s="76" t="s">
        <v>228</v>
      </c>
      <c r="O1136" s="453" t="str">
        <f ca="1">IF(OR(ISBLANK(L1136),ISBLANK(I1136),ISBLANK(F1136),COUNTBLANK(J1131:J1131)=1),"",IF(DATEDIF(DATE(L1136,VLOOKUP(I1136,data!$T$2:$U$13,2,FALSE),F1136),IF(AND(TODAY()&lt;data!$AJ$12,TODAY()&gt;data!$AI$12),data!$AI$3,data!$AJ$3),"Y")&gt;=data!$AC$35,YEAR(TODAY())-L1136,data!$AD$3))</f>
        <v/>
      </c>
      <c r="P1136" s="413"/>
      <c r="Q1136" s="63"/>
      <c r="R1136" s="124" t="str">
        <f>IF(NOT(N1153=33),"",IF(OR(ISBLANK(E1133),ISBLANK(L1133),ISBLANK(K1134),ISBLANK(O1134)),"O","P"))</f>
        <v/>
      </c>
      <c r="S1136" s="108" t="str">
        <f>IF(NOT(N1153=33),"","Address")</f>
        <v/>
      </c>
      <c r="T1136" s="64"/>
    </row>
    <row r="1137" spans="1:20" ht="15" thickBot="1" x14ac:dyDescent="0.25">
      <c r="A1137" s="83"/>
      <c r="B1137" s="410" t="s">
        <v>214</v>
      </c>
      <c r="C1137" s="411"/>
      <c r="D1137" s="412" t="str">
        <f>IF(NOT($N1153=33),"",IF(ISERROR(LOOKUP(33,'Teacher Summary Sheet'!$M$19:$M$181)),"",IF(VLOOKUP(33,'Teacher Summary Sheet'!$M$19:$R$181,5)=0,"",VLOOKUP(33,'Teacher Summary Sheet'!$M$19:$R$181,5))))</f>
        <v/>
      </c>
      <c r="E1137" s="413"/>
      <c r="F1137" s="414" t="s">
        <v>319</v>
      </c>
      <c r="G1137" s="415"/>
      <c r="H1137" s="416"/>
      <c r="I1137" s="417"/>
      <c r="J1137" s="418"/>
      <c r="K1137" s="414" t="s">
        <v>320</v>
      </c>
      <c r="L1137" s="419"/>
      <c r="M1137" s="419"/>
      <c r="N1137" s="415"/>
      <c r="O1137" s="405" t="s">
        <v>268</v>
      </c>
      <c r="P1137" s="406"/>
      <c r="Q1137" s="63"/>
      <c r="R1137" s="124" t="str">
        <f>IF(NOT(N1153=33),"",IF(OR(ISBLANK(F1136),ISBLANK(I1136),ISBLANK(L1136)),"O","P"))</f>
        <v/>
      </c>
      <c r="S1137" s="108" t="str">
        <f>IF(NOT(N1153=33),"","Date of Birth")</f>
        <v/>
      </c>
      <c r="T1137" s="64"/>
    </row>
    <row r="1138" spans="1:20" ht="14.25" x14ac:dyDescent="0.2">
      <c r="A1138" s="83"/>
      <c r="B1138" s="522" t="s">
        <v>297</v>
      </c>
      <c r="C1138" s="463"/>
      <c r="D1138" s="463"/>
      <c r="E1138" s="463"/>
      <c r="F1138" s="463"/>
      <c r="G1138" s="463"/>
      <c r="H1138" s="463"/>
      <c r="I1138" s="463"/>
      <c r="J1138" s="463"/>
      <c r="K1138" s="463"/>
      <c r="L1138" s="463"/>
      <c r="M1138" s="463"/>
      <c r="N1138" s="463"/>
      <c r="O1138" s="463"/>
      <c r="P1138" s="464"/>
      <c r="Q1138" s="63"/>
      <c r="R1138" s="124" t="str">
        <f>IF(NOT(N1153=33),"",IF(COUNTBLANK(J1131:J1131)=1,"O","P"))</f>
        <v/>
      </c>
      <c r="S1138" s="112" t="str">
        <f>IF(NOT(N1153=33),"","Exam Level")</f>
        <v/>
      </c>
      <c r="T1138" s="64"/>
    </row>
    <row r="1139" spans="1:20" ht="14.25" x14ac:dyDescent="0.2">
      <c r="A1139" s="83"/>
      <c r="B1139" s="465"/>
      <c r="C1139" s="466"/>
      <c r="D1139" s="466"/>
      <c r="E1139" s="466"/>
      <c r="F1139" s="466"/>
      <c r="G1139" s="466"/>
      <c r="H1139" s="466"/>
      <c r="I1139" s="466"/>
      <c r="J1139" s="466"/>
      <c r="K1139" s="466"/>
      <c r="L1139" s="466"/>
      <c r="M1139" s="466"/>
      <c r="N1139" s="466"/>
      <c r="O1139" s="466"/>
      <c r="P1139" s="467"/>
      <c r="Q1139" s="63"/>
      <c r="R1139" s="124" t="str">
        <f>IF(NOT(N1153=33),"",IF(COUNTBLANK(D1137:D1137)=1,"O","P"))</f>
        <v/>
      </c>
      <c r="S1139" s="109" t="str">
        <f>IF(NOT(N1153=33),"","Gender")</f>
        <v/>
      </c>
      <c r="T1139" s="64"/>
    </row>
    <row r="1140" spans="1:20" ht="14.25" x14ac:dyDescent="0.2">
      <c r="A1140" s="83"/>
      <c r="B1140" s="432" t="s">
        <v>298</v>
      </c>
      <c r="C1140" s="433"/>
      <c r="D1140" s="434"/>
      <c r="E1140" s="405"/>
      <c r="F1140" s="406"/>
      <c r="G1140" s="432" t="s">
        <v>299</v>
      </c>
      <c r="H1140" s="433"/>
      <c r="I1140" s="434"/>
      <c r="J1140" s="405"/>
      <c r="K1140" s="448"/>
      <c r="L1140" s="406"/>
      <c r="M1140" s="414" t="s">
        <v>300</v>
      </c>
      <c r="N1140" s="415"/>
      <c r="O1140" s="457"/>
      <c r="P1140" s="458"/>
      <c r="Q1140" s="63"/>
      <c r="R1140" s="124" t="str">
        <f>IF(NOT(N1153=33),"",IF(ISBLANK(H1137),"O","P"))</f>
        <v/>
      </c>
      <c r="S1140" s="109" t="str">
        <f>IF(NOT(N1153=33),"","Height")</f>
        <v/>
      </c>
      <c r="T1140" s="64"/>
    </row>
    <row r="1141" spans="1:20" x14ac:dyDescent="0.2">
      <c r="A1141" s="83"/>
      <c r="B1141" s="77" t="s">
        <v>153</v>
      </c>
      <c r="C1141" s="405"/>
      <c r="D1141" s="406"/>
      <c r="E1141" s="414" t="s">
        <v>301</v>
      </c>
      <c r="F1141" s="415"/>
      <c r="G1141" s="459"/>
      <c r="H1141" s="460"/>
      <c r="I1141" s="461"/>
      <c r="J1141" s="414" t="s">
        <v>302</v>
      </c>
      <c r="K1141" s="415"/>
      <c r="L1141" s="454"/>
      <c r="M1141" s="455"/>
      <c r="N1141" s="455"/>
      <c r="O1141" s="455"/>
      <c r="P1141" s="456"/>
      <c r="Q1141" s="63"/>
      <c r="R1141" s="64"/>
      <c r="S1141" s="64"/>
      <c r="T1141" s="64"/>
    </row>
    <row r="1142" spans="1:20" x14ac:dyDescent="0.2">
      <c r="A1142" s="83"/>
      <c r="B1142" s="410" t="s">
        <v>116</v>
      </c>
      <c r="C1142" s="420"/>
      <c r="D1142" s="420"/>
      <c r="E1142" s="420"/>
      <c r="F1142" s="420"/>
      <c r="G1142" s="420"/>
      <c r="H1142" s="420"/>
      <c r="I1142" s="420"/>
      <c r="J1142" s="420"/>
      <c r="K1142" s="420"/>
      <c r="L1142" s="420"/>
      <c r="M1142" s="420"/>
      <c r="N1142" s="420"/>
      <c r="O1142" s="420"/>
      <c r="P1142" s="411"/>
      <c r="Q1142" s="63"/>
      <c r="R1142" s="64"/>
      <c r="S1142" s="64"/>
      <c r="T1142" s="64"/>
    </row>
    <row r="1143" spans="1:20" x14ac:dyDescent="0.2">
      <c r="A1143" s="83"/>
      <c r="B1143" s="410" t="s">
        <v>298</v>
      </c>
      <c r="C1143" s="420"/>
      <c r="D1143" s="411"/>
      <c r="E1143" s="405"/>
      <c r="F1143" s="406"/>
      <c r="G1143" s="410" t="s">
        <v>299</v>
      </c>
      <c r="H1143" s="420"/>
      <c r="I1143" s="411"/>
      <c r="J1143" s="454"/>
      <c r="K1143" s="455"/>
      <c r="L1143" s="456"/>
      <c r="M1143" s="414" t="s">
        <v>300</v>
      </c>
      <c r="N1143" s="415"/>
      <c r="O1143" s="457"/>
      <c r="P1143" s="458"/>
      <c r="Q1143" s="63"/>
      <c r="R1143" s="64"/>
    </row>
    <row r="1144" spans="1:20" ht="13.5" thickBot="1" x14ac:dyDescent="0.25">
      <c r="A1144" s="83"/>
      <c r="B1144" s="78" t="s">
        <v>153</v>
      </c>
      <c r="C1144" s="492"/>
      <c r="D1144" s="493"/>
      <c r="E1144" s="494" t="s">
        <v>301</v>
      </c>
      <c r="F1144" s="495"/>
      <c r="G1144" s="496"/>
      <c r="H1144" s="497"/>
      <c r="I1144" s="498"/>
      <c r="J1144" s="414" t="s">
        <v>302</v>
      </c>
      <c r="K1144" s="415"/>
      <c r="L1144" s="454"/>
      <c r="M1144" s="455"/>
      <c r="N1144" s="455"/>
      <c r="O1144" s="455"/>
      <c r="P1144" s="456"/>
      <c r="Q1144" s="63"/>
      <c r="R1144" s="64"/>
    </row>
    <row r="1145" spans="1:20" x14ac:dyDescent="0.2">
      <c r="A1145" s="83"/>
      <c r="B1145" s="499" t="s">
        <v>126</v>
      </c>
      <c r="C1145" s="500"/>
      <c r="D1145" s="500"/>
      <c r="E1145" s="500"/>
      <c r="F1145" s="500"/>
      <c r="G1145" s="500"/>
      <c r="H1145" s="500"/>
      <c r="I1145" s="501"/>
      <c r="J1145" s="505"/>
      <c r="K1145" s="506"/>
      <c r="L1145" s="506"/>
      <c r="M1145" s="506"/>
      <c r="N1145" s="506"/>
      <c r="O1145" s="506"/>
      <c r="P1145" s="507"/>
      <c r="Q1145" s="63"/>
      <c r="R1145" s="64"/>
    </row>
    <row r="1146" spans="1:20" x14ac:dyDescent="0.2">
      <c r="A1146" s="83"/>
      <c r="B1146" s="502"/>
      <c r="C1146" s="503"/>
      <c r="D1146" s="503"/>
      <c r="E1146" s="503"/>
      <c r="F1146" s="503"/>
      <c r="G1146" s="503"/>
      <c r="H1146" s="503"/>
      <c r="I1146" s="504"/>
      <c r="J1146" s="508"/>
      <c r="K1146" s="509"/>
      <c r="L1146" s="509"/>
      <c r="M1146" s="509"/>
      <c r="N1146" s="509"/>
      <c r="O1146" s="509"/>
      <c r="P1146" s="510"/>
      <c r="Q1146" s="63"/>
      <c r="R1146" s="64"/>
    </row>
    <row r="1147" spans="1:20" x14ac:dyDescent="0.2">
      <c r="A1147" s="83"/>
      <c r="B1147" s="514" t="s">
        <v>127</v>
      </c>
      <c r="C1147" s="515"/>
      <c r="D1147" s="515"/>
      <c r="E1147" s="515"/>
      <c r="F1147" s="515"/>
      <c r="G1147" s="515"/>
      <c r="H1147" s="515"/>
      <c r="I1147" s="516"/>
      <c r="J1147" s="508"/>
      <c r="K1147" s="509"/>
      <c r="L1147" s="509"/>
      <c r="M1147" s="509"/>
      <c r="N1147" s="509"/>
      <c r="O1147" s="509"/>
      <c r="P1147" s="510"/>
      <c r="Q1147" s="63"/>
      <c r="R1147" s="64"/>
    </row>
    <row r="1148" spans="1:20" ht="13.5" thickBot="1" x14ac:dyDescent="0.25">
      <c r="A1148" s="83"/>
      <c r="B1148" s="517"/>
      <c r="C1148" s="518"/>
      <c r="D1148" s="518"/>
      <c r="E1148" s="518"/>
      <c r="F1148" s="518"/>
      <c r="G1148" s="518"/>
      <c r="H1148" s="518"/>
      <c r="I1148" s="519"/>
      <c r="J1148" s="511"/>
      <c r="K1148" s="512"/>
      <c r="L1148" s="512"/>
      <c r="M1148" s="512"/>
      <c r="N1148" s="512"/>
      <c r="O1148" s="512"/>
      <c r="P1148" s="513"/>
      <c r="Q1148" s="63"/>
      <c r="R1148" s="64"/>
    </row>
    <row r="1149" spans="1:20" x14ac:dyDescent="0.2">
      <c r="A1149" s="83"/>
      <c r="B1149" s="480" t="s">
        <v>10</v>
      </c>
      <c r="C1149" s="481"/>
      <c r="D1149" s="481"/>
      <c r="E1149" s="481"/>
      <c r="F1149" s="481"/>
      <c r="G1149" s="481"/>
      <c r="H1149" s="481"/>
      <c r="I1149" s="482"/>
      <c r="J1149" s="79">
        <v>1</v>
      </c>
      <c r="K1149" s="483"/>
      <c r="L1149" s="484"/>
      <c r="M1149" s="484"/>
      <c r="N1149" s="484"/>
      <c r="O1149" s="484"/>
      <c r="P1149" s="485"/>
      <c r="Q1149" s="63"/>
      <c r="R1149" s="64"/>
    </row>
    <row r="1150" spans="1:20" x14ac:dyDescent="0.2">
      <c r="A1150" s="83"/>
      <c r="B1150" s="486" t="s">
        <v>276</v>
      </c>
      <c r="C1150" s="487"/>
      <c r="D1150" s="487"/>
      <c r="E1150" s="487"/>
      <c r="F1150" s="487"/>
      <c r="G1150" s="487"/>
      <c r="H1150" s="487"/>
      <c r="I1150" s="488"/>
      <c r="J1150" s="80">
        <v>2</v>
      </c>
      <c r="K1150" s="454"/>
      <c r="L1150" s="455"/>
      <c r="M1150" s="455"/>
      <c r="N1150" s="455"/>
      <c r="O1150" s="455"/>
      <c r="P1150" s="456"/>
      <c r="Q1150" s="63"/>
      <c r="R1150" s="64"/>
    </row>
    <row r="1151" spans="1:20" x14ac:dyDescent="0.2">
      <c r="A1151" s="83"/>
      <c r="B1151" s="489" t="s">
        <v>234</v>
      </c>
      <c r="C1151" s="490"/>
      <c r="D1151" s="490"/>
      <c r="E1151" s="490"/>
      <c r="F1151" s="490"/>
      <c r="G1151" s="490"/>
      <c r="H1151" s="490"/>
      <c r="I1151" s="491"/>
      <c r="J1151" s="80">
        <v>3</v>
      </c>
      <c r="K1151" s="454"/>
      <c r="L1151" s="455"/>
      <c r="M1151" s="455"/>
      <c r="N1151" s="455"/>
      <c r="O1151" s="455"/>
      <c r="P1151" s="456"/>
      <c r="Q1151" s="63"/>
      <c r="R1151" s="64"/>
    </row>
    <row r="1152" spans="1:20" x14ac:dyDescent="0.2">
      <c r="A1152" s="83"/>
      <c r="B1152" s="468"/>
      <c r="C1152" s="468"/>
      <c r="D1152" s="468"/>
      <c r="E1152" s="468"/>
      <c r="F1152" s="468"/>
      <c r="G1152" s="468"/>
      <c r="H1152" s="468"/>
      <c r="I1152" s="468"/>
      <c r="J1152" s="468"/>
      <c r="K1152" s="468"/>
      <c r="L1152" s="468"/>
      <c r="M1152" s="468"/>
      <c r="N1152" s="468"/>
      <c r="O1152" s="468"/>
      <c r="P1152" s="468"/>
      <c r="Q1152" s="63"/>
      <c r="R1152" s="64"/>
    </row>
    <row r="1153" spans="1:20" ht="12" customHeight="1" x14ac:dyDescent="0.2">
      <c r="A1153" s="83"/>
      <c r="B1153" s="469" t="s">
        <v>84</v>
      </c>
      <c r="C1153" s="471" t="str">
        <f>IF(CODE(B1153)=89,"This candidate would like to receive Special","This candidate would not like to receive Special")</f>
        <v>This candidate would like to receive Special</v>
      </c>
      <c r="D1153" s="472"/>
      <c r="E1153" s="472"/>
      <c r="F1153" s="472"/>
      <c r="G1153" s="472"/>
      <c r="H1153" s="472"/>
      <c r="I1153" s="473"/>
      <c r="J1153" s="81"/>
      <c r="K1153" s="474" t="s">
        <v>294</v>
      </c>
      <c r="L1153" s="474"/>
      <c r="M1153" s="475"/>
      <c r="N1153" s="51" t="str">
        <f>IF($P$33&gt;=33,33,"")</f>
        <v/>
      </c>
      <c r="O1153" s="62" t="s">
        <v>52</v>
      </c>
      <c r="P1153" s="51" t="str">
        <f>IF($P$33&gt;=33,$P$33,"")</f>
        <v/>
      </c>
      <c r="Q1153" s="63"/>
      <c r="R1153" s="64"/>
    </row>
    <row r="1154" spans="1:20" ht="12" customHeight="1" x14ac:dyDescent="0.2">
      <c r="A1154" s="83"/>
      <c r="B1154" s="470"/>
      <c r="C1154" s="476" t="str">
        <f>IF(CODE(B1153)=89,"Announcements and Bulletins from RAD Canada","Announcements and Bulletins from RAD Canada")</f>
        <v>Announcements and Bulletins from RAD Canada</v>
      </c>
      <c r="D1154" s="477"/>
      <c r="E1154" s="477"/>
      <c r="F1154" s="477"/>
      <c r="G1154" s="477"/>
      <c r="H1154" s="477"/>
      <c r="I1154" s="478"/>
      <c r="J1154" s="479"/>
      <c r="K1154" s="400"/>
      <c r="L1154" s="400"/>
      <c r="M1154" s="400"/>
      <c r="N1154" s="400"/>
      <c r="O1154" s="400"/>
      <c r="P1154" s="400"/>
      <c r="Q1154" s="63"/>
      <c r="R1154" s="64"/>
    </row>
    <row r="1155" spans="1:20" x14ac:dyDescent="0.2">
      <c r="A1155" s="83"/>
      <c r="B1155" s="81"/>
      <c r="C1155" s="81"/>
      <c r="D1155" s="81"/>
      <c r="E1155" s="81"/>
      <c r="F1155" s="81"/>
      <c r="G1155" s="81"/>
      <c r="H1155" s="81"/>
      <c r="I1155" s="81"/>
      <c r="J1155" s="81"/>
      <c r="K1155" s="81"/>
      <c r="L1155" s="81"/>
      <c r="M1155" s="81"/>
      <c r="N1155" s="81"/>
      <c r="O1155" s="81"/>
      <c r="P1155" s="81"/>
      <c r="Q1155" s="63"/>
      <c r="R1155" s="64"/>
    </row>
    <row r="1156" spans="1:20" x14ac:dyDescent="0.2">
      <c r="A1156" s="83"/>
      <c r="B1156" s="62"/>
      <c r="C1156" s="62"/>
      <c r="D1156" s="62"/>
      <c r="E1156" s="62"/>
      <c r="F1156" s="62"/>
      <c r="G1156" s="62"/>
      <c r="H1156" s="62"/>
      <c r="I1156" s="62"/>
      <c r="J1156" s="62"/>
      <c r="K1156" s="62"/>
      <c r="L1156" s="62"/>
      <c r="M1156" s="62"/>
      <c r="N1156" s="62"/>
      <c r="O1156" s="62"/>
      <c r="P1156" s="62"/>
      <c r="Q1156" s="63"/>
      <c r="R1156" s="64"/>
    </row>
    <row r="1157" spans="1:20" x14ac:dyDescent="0.2">
      <c r="A1157" s="83"/>
      <c r="B1157" s="401" t="s">
        <v>295</v>
      </c>
      <c r="C1157" s="402"/>
      <c r="D1157" s="402"/>
      <c r="E1157" s="402"/>
      <c r="F1157" s="402"/>
      <c r="G1157" s="402"/>
      <c r="H1157" s="62"/>
      <c r="I1157" s="62"/>
      <c r="J1157" s="62"/>
      <c r="K1157" s="62"/>
      <c r="L1157" s="62"/>
      <c r="M1157" s="62"/>
      <c r="N1157" s="62"/>
      <c r="O1157" s="62"/>
      <c r="P1157" s="62"/>
      <c r="Q1157" s="63"/>
      <c r="R1157" s="64"/>
    </row>
    <row r="1158" spans="1:20" ht="15.75" x14ac:dyDescent="0.25">
      <c r="A1158" s="83"/>
      <c r="B1158" s="402"/>
      <c r="C1158" s="402"/>
      <c r="D1158" s="402"/>
      <c r="E1158" s="402"/>
      <c r="F1158" s="402"/>
      <c r="G1158" s="402"/>
      <c r="H1158" s="82"/>
      <c r="I1158" s="403"/>
      <c r="J1158" s="403"/>
      <c r="K1158" s="403"/>
      <c r="L1158" s="403"/>
      <c r="M1158" s="403"/>
      <c r="N1158" s="403"/>
      <c r="O1158" s="403"/>
      <c r="P1158" s="403"/>
      <c r="Q1158" s="63"/>
      <c r="R1158" s="64"/>
    </row>
    <row r="1159" spans="1:20" x14ac:dyDescent="0.2">
      <c r="A1159" s="83"/>
      <c r="B1159" s="400"/>
      <c r="C1159" s="400"/>
      <c r="D1159" s="400"/>
      <c r="E1159" s="400"/>
      <c r="F1159" s="400"/>
      <c r="G1159" s="400"/>
      <c r="H1159" s="400"/>
      <c r="I1159" s="400"/>
      <c r="J1159" s="400"/>
      <c r="K1159" s="400"/>
      <c r="L1159" s="400"/>
      <c r="M1159" s="403"/>
      <c r="N1159" s="403"/>
      <c r="O1159" s="403"/>
      <c r="P1159" s="403"/>
      <c r="Q1159" s="63"/>
      <c r="R1159" s="64"/>
    </row>
    <row r="1160" spans="1:20" x14ac:dyDescent="0.2">
      <c r="A1160" s="83"/>
      <c r="B1160" s="404" t="s">
        <v>260</v>
      </c>
      <c r="C1160" s="404"/>
      <c r="D1160" s="404"/>
      <c r="E1160" s="404"/>
      <c r="F1160" s="400"/>
      <c r="G1160" s="400"/>
      <c r="H1160" s="400"/>
      <c r="I1160" s="400"/>
      <c r="J1160" s="400"/>
      <c r="K1160" s="400"/>
      <c r="L1160" s="400"/>
      <c r="M1160" s="403"/>
      <c r="N1160" s="403"/>
      <c r="O1160" s="403"/>
      <c r="P1160" s="403"/>
      <c r="Q1160" s="63"/>
      <c r="R1160" s="64"/>
    </row>
    <row r="1161" spans="1:20" x14ac:dyDescent="0.2">
      <c r="A1161" s="83"/>
      <c r="B1161" s="69"/>
      <c r="C1161" s="324" t="s">
        <v>75</v>
      </c>
      <c r="D1161" s="408"/>
      <c r="E1161" s="409"/>
      <c r="F1161" s="400"/>
      <c r="G1161" s="400"/>
      <c r="H1161" s="400"/>
      <c r="I1161" s="400"/>
      <c r="J1161" s="400"/>
      <c r="K1161" s="400"/>
      <c r="L1161" s="400"/>
      <c r="M1161" s="70"/>
      <c r="N1161" s="70"/>
      <c r="O1161" s="70"/>
      <c r="P1161" s="70"/>
      <c r="Q1161" s="63"/>
      <c r="R1161" s="64"/>
    </row>
    <row r="1162" spans="1:20" x14ac:dyDescent="0.2">
      <c r="A1162" s="83"/>
      <c r="B1162" s="71"/>
      <c r="C1162" s="324" t="s">
        <v>128</v>
      </c>
      <c r="D1162" s="408"/>
      <c r="E1162" s="409"/>
      <c r="F1162" s="400"/>
      <c r="G1162" s="400"/>
      <c r="H1162" s="400"/>
      <c r="I1162" s="400"/>
      <c r="J1162" s="400"/>
      <c r="K1162" s="400"/>
      <c r="L1162" s="400"/>
      <c r="M1162" s="407" t="s">
        <v>256</v>
      </c>
      <c r="N1162" s="407"/>
      <c r="O1162" s="407"/>
      <c r="P1162" s="407"/>
      <c r="Q1162" s="63"/>
      <c r="R1162" s="64"/>
    </row>
    <row r="1163" spans="1:20" x14ac:dyDescent="0.2">
      <c r="A1163" s="83"/>
      <c r="B1163" s="56"/>
      <c r="C1163" s="324" t="s">
        <v>193</v>
      </c>
      <c r="D1163" s="408"/>
      <c r="E1163" s="409"/>
      <c r="F1163" s="400"/>
      <c r="G1163" s="400"/>
      <c r="H1163" s="400"/>
      <c r="I1163" s="400"/>
      <c r="J1163" s="400"/>
      <c r="K1163" s="400"/>
      <c r="L1163" s="400"/>
      <c r="M1163" s="407"/>
      <c r="N1163" s="407"/>
      <c r="O1163" s="407"/>
      <c r="P1163" s="407"/>
      <c r="Q1163" s="63"/>
      <c r="R1163" s="64"/>
    </row>
    <row r="1164" spans="1:20" x14ac:dyDescent="0.2">
      <c r="A1164" s="83"/>
      <c r="B1164" s="520"/>
      <c r="C1164" s="520"/>
      <c r="D1164" s="520"/>
      <c r="E1164" s="520"/>
      <c r="F1164" s="520"/>
      <c r="G1164" s="520"/>
      <c r="H1164" s="520"/>
      <c r="I1164" s="520"/>
      <c r="J1164" s="520"/>
      <c r="K1164" s="520"/>
      <c r="L1164" s="520"/>
      <c r="M1164" s="520"/>
      <c r="N1164" s="520"/>
      <c r="O1164" s="520"/>
      <c r="P1164" s="520"/>
      <c r="Q1164" s="63"/>
      <c r="R1164" s="64"/>
    </row>
    <row r="1165" spans="1:20" x14ac:dyDescent="0.2">
      <c r="A1165" s="83"/>
      <c r="B1165" s="432" t="s">
        <v>117</v>
      </c>
      <c r="C1165" s="433"/>
      <c r="D1165" s="434"/>
      <c r="E1165" s="442" t="str">
        <f>IF(AND($P$33&gt;=34,NOT(ISBLANK($E$10))),$E$10,"")</f>
        <v/>
      </c>
      <c r="F1165" s="443"/>
      <c r="G1165" s="444"/>
      <c r="H1165" s="414" t="s">
        <v>124</v>
      </c>
      <c r="I1165" s="415"/>
      <c r="J1165" s="442" t="str">
        <f>IF(AND($P$33&gt;=34,NOT(ISBLANK($J$10))),$J$10,"")</f>
        <v/>
      </c>
      <c r="K1165" s="443"/>
      <c r="L1165" s="444"/>
      <c r="M1165" s="414" t="s">
        <v>118</v>
      </c>
      <c r="N1165" s="415"/>
      <c r="O1165" s="430" t="str">
        <f>IF(AND($P$33&gt;=34,NOT(ISBLANK($O$10))),$O$10,"")</f>
        <v/>
      </c>
      <c r="P1165" s="521"/>
      <c r="Q1165" s="63"/>
      <c r="R1165" s="545" t="s">
        <v>307</v>
      </c>
      <c r="S1165" s="546"/>
      <c r="T1165" s="547"/>
    </row>
    <row r="1166" spans="1:20" x14ac:dyDescent="0.2">
      <c r="A1166" s="83"/>
      <c r="B1166" s="432" t="s">
        <v>240</v>
      </c>
      <c r="C1166" s="433"/>
      <c r="D1166" s="434"/>
      <c r="E1166" s="435" t="str">
        <f>IF(NOT($N1188=34),"",IF(ISERROR(LOOKUP(34,'Teacher Summary Sheet'!$M$19:$M$181)),"",IF(VLOOKUP(34,'Teacher Summary Sheet'!$M$19:$R$181,2)=0,"",VLOOKUP(34,'Teacher Summary Sheet'!$M$19:$R$181,2))))</f>
        <v/>
      </c>
      <c r="F1166" s="436"/>
      <c r="G1166" s="437"/>
      <c r="H1166" s="438" t="s">
        <v>119</v>
      </c>
      <c r="I1166" s="439"/>
      <c r="J1166" s="102" t="str">
        <f>IF(NOT($N1188=34),"",IF(ISERROR(LOOKUP(34,'Teacher Summary Sheet'!$M$19:$M$181)),"",IF(VLOOKUP(34,'Teacher Summary Sheet'!$M$19:$R$181,6)=0,"",VLOOKUP(34,'Teacher Summary Sheet'!$M$19:$R$181,6))))</f>
        <v/>
      </c>
      <c r="K1166" s="414" t="s">
        <v>179</v>
      </c>
      <c r="L1166" s="419"/>
      <c r="M1166" s="415"/>
      <c r="N1166" s="412" t="str">
        <f>IF(NOT($N1188=34),"",IF(ISERROR(LOOKUP(34,'Teacher Summary Sheet'!$M$19:$M$181)),"",IF('Teacher Summary Sheet'!$F$31=0,"",'Teacher Summary Sheet'!$F$31)))</f>
        <v/>
      </c>
      <c r="O1166" s="440"/>
      <c r="P1166" s="413"/>
      <c r="Q1166" s="63"/>
      <c r="R1166" s="548"/>
      <c r="S1166" s="549"/>
      <c r="T1166" s="550"/>
    </row>
    <row r="1167" spans="1:20" ht="14.25" x14ac:dyDescent="0.2">
      <c r="A1167" s="83"/>
      <c r="B1167" s="410" t="s">
        <v>241</v>
      </c>
      <c r="C1167" s="420"/>
      <c r="D1167" s="411"/>
      <c r="E1167" s="421" t="str">
        <f>IF(NOT($N1188=34),"",IF(ISERROR(LOOKUP(34,'Teacher Summary Sheet'!$M$19:$M$181)),"",IF(VLOOKUP(34,'Teacher Summary Sheet'!$M$19:$R$181,3)=0,"",VLOOKUP(34,'Teacher Summary Sheet'!$M$19:$R$181,3))))</f>
        <v/>
      </c>
      <c r="F1167" s="422"/>
      <c r="G1167" s="422"/>
      <c r="H1167" s="422"/>
      <c r="I1167" s="423"/>
      <c r="J1167" s="414" t="s">
        <v>124</v>
      </c>
      <c r="K1167" s="415"/>
      <c r="L1167" s="424" t="str">
        <f>IF(NOT($N1188=34),"",IF(ISERROR(LOOKUP(34,'Teacher Summary Sheet'!$M$19:$M$181)),"",IF(VLOOKUP(34,'Teacher Summary Sheet'!$M$19:$R$181,4)=0,"",VLOOKUP(34,'Teacher Summary Sheet'!$M$19:$R$181,4))))</f>
        <v/>
      </c>
      <c r="M1167" s="425"/>
      <c r="N1167" s="425"/>
      <c r="O1167" s="425"/>
      <c r="P1167" s="426"/>
      <c r="Q1167" s="63"/>
      <c r="R1167" s="125" t="str">
        <f>IF(NOT(N1188=34),"",IF(COUNTIF(R1169:R1175,"P")=7,"P","O"))</f>
        <v/>
      </c>
      <c r="S1167" s="110" t="str">
        <f>IF(NOT(N1188=34),"",IF(COUNTIF(R1169:R1175,"P")=7,"Complete","Incomplete"))</f>
        <v/>
      </c>
      <c r="T1167" s="111"/>
    </row>
    <row r="1168" spans="1:20" x14ac:dyDescent="0.2">
      <c r="A1168" s="83"/>
      <c r="B1168" s="410" t="s">
        <v>120</v>
      </c>
      <c r="C1168" s="420"/>
      <c r="D1168" s="411"/>
      <c r="E1168" s="427"/>
      <c r="F1168" s="428"/>
      <c r="G1168" s="428"/>
      <c r="H1168" s="428"/>
      <c r="I1168" s="428"/>
      <c r="J1168" s="429"/>
      <c r="K1168" s="62" t="s">
        <v>121</v>
      </c>
      <c r="L1168" s="427"/>
      <c r="M1168" s="428"/>
      <c r="N1168" s="428"/>
      <c r="O1168" s="428"/>
      <c r="P1168" s="429"/>
      <c r="Q1168" s="63"/>
    </row>
    <row r="1169" spans="1:20" ht="14.25" x14ac:dyDescent="0.2">
      <c r="A1169" s="83"/>
      <c r="B1169" s="410" t="s">
        <v>196</v>
      </c>
      <c r="C1169" s="420"/>
      <c r="D1169" s="411"/>
      <c r="E1169" s="427"/>
      <c r="F1169" s="428"/>
      <c r="G1169" s="428"/>
      <c r="H1169" s="428"/>
      <c r="I1169" s="429"/>
      <c r="J1169" s="73" t="s">
        <v>197</v>
      </c>
      <c r="K1169" s="405"/>
      <c r="L1169" s="406"/>
      <c r="M1169" s="414" t="s">
        <v>212</v>
      </c>
      <c r="N1169" s="415"/>
      <c r="O1169" s="405"/>
      <c r="P1169" s="406"/>
      <c r="Q1169" s="63"/>
      <c r="R1169" s="124" t="str">
        <f>IF(NOT(N1188=34),"",IF(OR(COUNTBLANK(E1167:E1167)=1,COUNTBLANK(L1167:L1167)=1),"O","P"))</f>
        <v/>
      </c>
      <c r="S1169" s="108" t="str">
        <f>IF(NOT(N1188=34),"","Candidate Name")</f>
        <v/>
      </c>
      <c r="T1169" s="64"/>
    </row>
    <row r="1170" spans="1:20" ht="14.25" x14ac:dyDescent="0.2">
      <c r="A1170" s="83"/>
      <c r="B1170" s="410" t="s">
        <v>198</v>
      </c>
      <c r="C1170" s="420"/>
      <c r="D1170" s="411"/>
      <c r="E1170" s="454"/>
      <c r="F1170" s="455"/>
      <c r="G1170" s="455"/>
      <c r="H1170" s="456"/>
      <c r="I1170" s="74" t="s">
        <v>199</v>
      </c>
      <c r="J1170" s="427"/>
      <c r="K1170" s="428"/>
      <c r="L1170" s="428"/>
      <c r="M1170" s="428"/>
      <c r="N1170" s="428"/>
      <c r="O1170" s="428"/>
      <c r="P1170" s="429"/>
      <c r="Q1170" s="63"/>
      <c r="R1170" s="124" t="str">
        <f>IF(NOT(N1188=34),"",IF(COUNTBLANK(E1166:E1166)=1,"O","P"))</f>
        <v/>
      </c>
      <c r="S1170" s="108" t="str">
        <f>IF(NOT(N1188=34),"","Candidate ID")</f>
        <v/>
      </c>
      <c r="T1170" s="64"/>
    </row>
    <row r="1171" spans="1:20" ht="14.25" x14ac:dyDescent="0.2">
      <c r="A1171" s="83"/>
      <c r="B1171" s="410" t="s">
        <v>227</v>
      </c>
      <c r="C1171" s="420"/>
      <c r="D1171" s="411"/>
      <c r="E1171" s="75" t="s">
        <v>218</v>
      </c>
      <c r="F1171" s="405"/>
      <c r="G1171" s="448"/>
      <c r="H1171" s="75" t="s">
        <v>138</v>
      </c>
      <c r="I1171" s="449"/>
      <c r="J1171" s="450"/>
      <c r="K1171" s="76" t="s">
        <v>139</v>
      </c>
      <c r="L1171" s="451"/>
      <c r="M1171" s="452"/>
      <c r="N1171" s="76" t="s">
        <v>228</v>
      </c>
      <c r="O1171" s="453" t="str">
        <f ca="1">IF(OR(ISBLANK(L1171),ISBLANK(I1171),ISBLANK(F1171),COUNTBLANK(J1166:J1166)=1),"",IF(DATEDIF(DATE(L1171,VLOOKUP(I1171,data!$T$2:$U$13,2,FALSE),F1171),IF(AND(TODAY()&lt;data!$AJ$12,TODAY()&gt;data!$AI$12),data!$AI$3,data!$AJ$3),"Y")&gt;=data!$AC$36,YEAR(TODAY())-L1171,data!$AD$3))</f>
        <v/>
      </c>
      <c r="P1171" s="413"/>
      <c r="Q1171" s="63"/>
      <c r="R1171" s="124" t="str">
        <f>IF(NOT(N1188=34),"",IF(OR(ISBLANK(E1168),ISBLANK(L1168),ISBLANK(K1169),ISBLANK(O1169)),"O","P"))</f>
        <v/>
      </c>
      <c r="S1171" s="108" t="str">
        <f>IF(NOT(N1188=34),"","Address")</f>
        <v/>
      </c>
      <c r="T1171" s="64"/>
    </row>
    <row r="1172" spans="1:20" ht="15" thickBot="1" x14ac:dyDescent="0.25">
      <c r="A1172" s="83"/>
      <c r="B1172" s="410" t="s">
        <v>214</v>
      </c>
      <c r="C1172" s="411"/>
      <c r="D1172" s="412" t="str">
        <f>IF(NOT($N1188=34),"",IF(ISERROR(LOOKUP(34,'Teacher Summary Sheet'!$M$19:$M$181)),"",IF(VLOOKUP(34,'Teacher Summary Sheet'!$M$19:$R$181,5)=0,"",VLOOKUP(34,'Teacher Summary Sheet'!$M$19:$R$181,5))))</f>
        <v/>
      </c>
      <c r="E1172" s="413"/>
      <c r="F1172" s="414" t="s">
        <v>319</v>
      </c>
      <c r="G1172" s="415"/>
      <c r="H1172" s="416"/>
      <c r="I1172" s="417"/>
      <c r="J1172" s="418"/>
      <c r="K1172" s="414" t="s">
        <v>320</v>
      </c>
      <c r="L1172" s="419"/>
      <c r="M1172" s="419"/>
      <c r="N1172" s="415"/>
      <c r="O1172" s="405" t="s">
        <v>268</v>
      </c>
      <c r="P1172" s="406"/>
      <c r="Q1172" s="63"/>
      <c r="R1172" s="124" t="str">
        <f>IF(NOT(N1188=34),"",IF(OR(ISBLANK(F1171),ISBLANK(I1171),ISBLANK(L1171)),"O","P"))</f>
        <v/>
      </c>
      <c r="S1172" s="108" t="str">
        <f>IF(NOT(N1188=34),"","Date of Birth")</f>
        <v/>
      </c>
      <c r="T1172" s="64"/>
    </row>
    <row r="1173" spans="1:20" ht="14.25" x14ac:dyDescent="0.2">
      <c r="A1173" s="83"/>
      <c r="B1173" s="522" t="s">
        <v>297</v>
      </c>
      <c r="C1173" s="463"/>
      <c r="D1173" s="463"/>
      <c r="E1173" s="463"/>
      <c r="F1173" s="463"/>
      <c r="G1173" s="463"/>
      <c r="H1173" s="463"/>
      <c r="I1173" s="463"/>
      <c r="J1173" s="463"/>
      <c r="K1173" s="463"/>
      <c r="L1173" s="463"/>
      <c r="M1173" s="463"/>
      <c r="N1173" s="463"/>
      <c r="O1173" s="463"/>
      <c r="P1173" s="464"/>
      <c r="Q1173" s="63"/>
      <c r="R1173" s="124" t="str">
        <f>IF(NOT(N1188=34),"",IF(COUNTBLANK(J1166:J1166)=1,"O","P"))</f>
        <v/>
      </c>
      <c r="S1173" s="112" t="str">
        <f>IF(NOT(N1188=34),"","Exam Level")</f>
        <v/>
      </c>
      <c r="T1173" s="64"/>
    </row>
    <row r="1174" spans="1:20" ht="14.25" x14ac:dyDescent="0.2">
      <c r="A1174" s="83"/>
      <c r="B1174" s="465"/>
      <c r="C1174" s="466"/>
      <c r="D1174" s="466"/>
      <c r="E1174" s="466"/>
      <c r="F1174" s="466"/>
      <c r="G1174" s="466"/>
      <c r="H1174" s="466"/>
      <c r="I1174" s="466"/>
      <c r="J1174" s="466"/>
      <c r="K1174" s="466"/>
      <c r="L1174" s="466"/>
      <c r="M1174" s="466"/>
      <c r="N1174" s="466"/>
      <c r="O1174" s="466"/>
      <c r="P1174" s="467"/>
      <c r="Q1174" s="63"/>
      <c r="R1174" s="124" t="str">
        <f>IF(NOT(N1188=34),"",IF(COUNTBLANK(D1172:D1172)=1,"O","P"))</f>
        <v/>
      </c>
      <c r="S1174" s="109" t="str">
        <f>IF(NOT(N1188=34),"","Gender")</f>
        <v/>
      </c>
      <c r="T1174" s="64"/>
    </row>
    <row r="1175" spans="1:20" ht="14.25" x14ac:dyDescent="0.2">
      <c r="A1175" s="83"/>
      <c r="B1175" s="432" t="s">
        <v>298</v>
      </c>
      <c r="C1175" s="433"/>
      <c r="D1175" s="434"/>
      <c r="E1175" s="405"/>
      <c r="F1175" s="406"/>
      <c r="G1175" s="432" t="s">
        <v>299</v>
      </c>
      <c r="H1175" s="433"/>
      <c r="I1175" s="434"/>
      <c r="J1175" s="405"/>
      <c r="K1175" s="448"/>
      <c r="L1175" s="406"/>
      <c r="M1175" s="414" t="s">
        <v>300</v>
      </c>
      <c r="N1175" s="415"/>
      <c r="O1175" s="457"/>
      <c r="P1175" s="458"/>
      <c r="Q1175" s="63"/>
      <c r="R1175" s="124" t="str">
        <f>IF(NOT(N1188=34),"",IF(ISBLANK(H1172),"O","P"))</f>
        <v/>
      </c>
      <c r="S1175" s="109" t="str">
        <f>IF(NOT(N1188=34),"","Height")</f>
        <v/>
      </c>
      <c r="T1175" s="64"/>
    </row>
    <row r="1176" spans="1:20" x14ac:dyDescent="0.2">
      <c r="A1176" s="83"/>
      <c r="B1176" s="77" t="s">
        <v>153</v>
      </c>
      <c r="C1176" s="405"/>
      <c r="D1176" s="406"/>
      <c r="E1176" s="414" t="s">
        <v>301</v>
      </c>
      <c r="F1176" s="415"/>
      <c r="G1176" s="459"/>
      <c r="H1176" s="460"/>
      <c r="I1176" s="461"/>
      <c r="J1176" s="414" t="s">
        <v>302</v>
      </c>
      <c r="K1176" s="415"/>
      <c r="L1176" s="454"/>
      <c r="M1176" s="455"/>
      <c r="N1176" s="455"/>
      <c r="O1176" s="455"/>
      <c r="P1176" s="456"/>
      <c r="Q1176" s="63"/>
      <c r="R1176" s="64"/>
      <c r="S1176" s="64"/>
      <c r="T1176" s="64"/>
    </row>
    <row r="1177" spans="1:20" x14ac:dyDescent="0.2">
      <c r="A1177" s="83"/>
      <c r="B1177" s="410" t="s">
        <v>116</v>
      </c>
      <c r="C1177" s="420"/>
      <c r="D1177" s="420"/>
      <c r="E1177" s="420"/>
      <c r="F1177" s="420"/>
      <c r="G1177" s="420"/>
      <c r="H1177" s="420"/>
      <c r="I1177" s="420"/>
      <c r="J1177" s="420"/>
      <c r="K1177" s="420"/>
      <c r="L1177" s="420"/>
      <c r="M1177" s="420"/>
      <c r="N1177" s="420"/>
      <c r="O1177" s="420"/>
      <c r="P1177" s="411"/>
      <c r="Q1177" s="63"/>
      <c r="R1177" s="64"/>
      <c r="S1177" s="64"/>
      <c r="T1177" s="64"/>
    </row>
    <row r="1178" spans="1:20" x14ac:dyDescent="0.2">
      <c r="A1178" s="83"/>
      <c r="B1178" s="410" t="s">
        <v>298</v>
      </c>
      <c r="C1178" s="420"/>
      <c r="D1178" s="411"/>
      <c r="E1178" s="405"/>
      <c r="F1178" s="406"/>
      <c r="G1178" s="410" t="s">
        <v>299</v>
      </c>
      <c r="H1178" s="420"/>
      <c r="I1178" s="411"/>
      <c r="J1178" s="454"/>
      <c r="K1178" s="455"/>
      <c r="L1178" s="456"/>
      <c r="M1178" s="414" t="s">
        <v>300</v>
      </c>
      <c r="N1178" s="415"/>
      <c r="O1178" s="457"/>
      <c r="P1178" s="458"/>
      <c r="Q1178" s="63"/>
      <c r="R1178" s="64"/>
    </row>
    <row r="1179" spans="1:20" ht="13.5" thickBot="1" x14ac:dyDescent="0.25">
      <c r="A1179" s="83"/>
      <c r="B1179" s="78" t="s">
        <v>153</v>
      </c>
      <c r="C1179" s="492"/>
      <c r="D1179" s="493"/>
      <c r="E1179" s="494" t="s">
        <v>301</v>
      </c>
      <c r="F1179" s="495"/>
      <c r="G1179" s="496"/>
      <c r="H1179" s="497"/>
      <c r="I1179" s="498"/>
      <c r="J1179" s="414" t="s">
        <v>302</v>
      </c>
      <c r="K1179" s="415"/>
      <c r="L1179" s="454"/>
      <c r="M1179" s="455"/>
      <c r="N1179" s="455"/>
      <c r="O1179" s="455"/>
      <c r="P1179" s="456"/>
      <c r="Q1179" s="63"/>
      <c r="R1179" s="64"/>
    </row>
    <row r="1180" spans="1:20" x14ac:dyDescent="0.2">
      <c r="A1180" s="83"/>
      <c r="B1180" s="499" t="s">
        <v>126</v>
      </c>
      <c r="C1180" s="500"/>
      <c r="D1180" s="500"/>
      <c r="E1180" s="500"/>
      <c r="F1180" s="500"/>
      <c r="G1180" s="500"/>
      <c r="H1180" s="500"/>
      <c r="I1180" s="501"/>
      <c r="J1180" s="505"/>
      <c r="K1180" s="506"/>
      <c r="L1180" s="506"/>
      <c r="M1180" s="506"/>
      <c r="N1180" s="506"/>
      <c r="O1180" s="506"/>
      <c r="P1180" s="507"/>
      <c r="Q1180" s="63"/>
      <c r="R1180" s="64"/>
    </row>
    <row r="1181" spans="1:20" x14ac:dyDescent="0.2">
      <c r="A1181" s="83"/>
      <c r="B1181" s="502"/>
      <c r="C1181" s="503"/>
      <c r="D1181" s="503"/>
      <c r="E1181" s="503"/>
      <c r="F1181" s="503"/>
      <c r="G1181" s="503"/>
      <c r="H1181" s="503"/>
      <c r="I1181" s="504"/>
      <c r="J1181" s="508"/>
      <c r="K1181" s="509"/>
      <c r="L1181" s="509"/>
      <c r="M1181" s="509"/>
      <c r="N1181" s="509"/>
      <c r="O1181" s="509"/>
      <c r="P1181" s="510"/>
      <c r="Q1181" s="63"/>
      <c r="R1181" s="64"/>
    </row>
    <row r="1182" spans="1:20" x14ac:dyDescent="0.2">
      <c r="A1182" s="83"/>
      <c r="B1182" s="514" t="s">
        <v>127</v>
      </c>
      <c r="C1182" s="515"/>
      <c r="D1182" s="515"/>
      <c r="E1182" s="515"/>
      <c r="F1182" s="515"/>
      <c r="G1182" s="515"/>
      <c r="H1182" s="515"/>
      <c r="I1182" s="516"/>
      <c r="J1182" s="508"/>
      <c r="K1182" s="509"/>
      <c r="L1182" s="509"/>
      <c r="M1182" s="509"/>
      <c r="N1182" s="509"/>
      <c r="O1182" s="509"/>
      <c r="P1182" s="510"/>
      <c r="Q1182" s="63"/>
      <c r="R1182" s="64"/>
    </row>
    <row r="1183" spans="1:20" ht="13.5" thickBot="1" x14ac:dyDescent="0.25">
      <c r="A1183" s="83"/>
      <c r="B1183" s="517"/>
      <c r="C1183" s="518"/>
      <c r="D1183" s="518"/>
      <c r="E1183" s="518"/>
      <c r="F1183" s="518"/>
      <c r="G1183" s="518"/>
      <c r="H1183" s="518"/>
      <c r="I1183" s="519"/>
      <c r="J1183" s="511"/>
      <c r="K1183" s="512"/>
      <c r="L1183" s="512"/>
      <c r="M1183" s="512"/>
      <c r="N1183" s="512"/>
      <c r="O1183" s="512"/>
      <c r="P1183" s="513"/>
      <c r="Q1183" s="63"/>
      <c r="R1183" s="64"/>
    </row>
    <row r="1184" spans="1:20" x14ac:dyDescent="0.2">
      <c r="A1184" s="83"/>
      <c r="B1184" s="480" t="s">
        <v>10</v>
      </c>
      <c r="C1184" s="481"/>
      <c r="D1184" s="481"/>
      <c r="E1184" s="481"/>
      <c r="F1184" s="481"/>
      <c r="G1184" s="481"/>
      <c r="H1184" s="481"/>
      <c r="I1184" s="482"/>
      <c r="J1184" s="79">
        <v>1</v>
      </c>
      <c r="K1184" s="483"/>
      <c r="L1184" s="484"/>
      <c r="M1184" s="484"/>
      <c r="N1184" s="484"/>
      <c r="O1184" s="484"/>
      <c r="P1184" s="485"/>
      <c r="Q1184" s="63"/>
      <c r="R1184" s="64"/>
    </row>
    <row r="1185" spans="1:20" x14ac:dyDescent="0.2">
      <c r="A1185" s="83"/>
      <c r="B1185" s="486" t="s">
        <v>276</v>
      </c>
      <c r="C1185" s="487"/>
      <c r="D1185" s="487"/>
      <c r="E1185" s="487"/>
      <c r="F1185" s="487"/>
      <c r="G1185" s="487"/>
      <c r="H1185" s="487"/>
      <c r="I1185" s="488"/>
      <c r="J1185" s="80">
        <v>2</v>
      </c>
      <c r="K1185" s="454"/>
      <c r="L1185" s="455"/>
      <c r="M1185" s="455"/>
      <c r="N1185" s="455"/>
      <c r="O1185" s="455"/>
      <c r="P1185" s="456"/>
      <c r="Q1185" s="63"/>
      <c r="R1185" s="64"/>
    </row>
    <row r="1186" spans="1:20" x14ac:dyDescent="0.2">
      <c r="A1186" s="83"/>
      <c r="B1186" s="489" t="s">
        <v>234</v>
      </c>
      <c r="C1186" s="490"/>
      <c r="D1186" s="490"/>
      <c r="E1186" s="490"/>
      <c r="F1186" s="490"/>
      <c r="G1186" s="490"/>
      <c r="H1186" s="490"/>
      <c r="I1186" s="491"/>
      <c r="J1186" s="80">
        <v>3</v>
      </c>
      <c r="K1186" s="454"/>
      <c r="L1186" s="455"/>
      <c r="M1186" s="455"/>
      <c r="N1186" s="455"/>
      <c r="O1186" s="455"/>
      <c r="P1186" s="456"/>
      <c r="Q1186" s="63"/>
      <c r="R1186" s="64"/>
    </row>
    <row r="1187" spans="1:20" x14ac:dyDescent="0.2">
      <c r="A1187" s="83"/>
      <c r="B1187" s="468"/>
      <c r="C1187" s="468"/>
      <c r="D1187" s="468"/>
      <c r="E1187" s="468"/>
      <c r="F1187" s="468"/>
      <c r="G1187" s="468"/>
      <c r="H1187" s="468"/>
      <c r="I1187" s="468"/>
      <c r="J1187" s="468"/>
      <c r="K1187" s="468"/>
      <c r="L1187" s="468"/>
      <c r="M1187" s="468"/>
      <c r="N1187" s="468"/>
      <c r="O1187" s="468"/>
      <c r="P1187" s="468"/>
      <c r="Q1187" s="63"/>
      <c r="R1187" s="64"/>
    </row>
    <row r="1188" spans="1:20" ht="12" customHeight="1" x14ac:dyDescent="0.2">
      <c r="A1188" s="83"/>
      <c r="B1188" s="469" t="s">
        <v>84</v>
      </c>
      <c r="C1188" s="471" t="str">
        <f>IF(CODE(B1188)=89,"This candidate would like to receive Special","This candidate would not like to receive Special")</f>
        <v>This candidate would like to receive Special</v>
      </c>
      <c r="D1188" s="472"/>
      <c r="E1188" s="472"/>
      <c r="F1188" s="472"/>
      <c r="G1188" s="472"/>
      <c r="H1188" s="472"/>
      <c r="I1188" s="473"/>
      <c r="J1188" s="81"/>
      <c r="K1188" s="474" t="s">
        <v>235</v>
      </c>
      <c r="L1188" s="474"/>
      <c r="M1188" s="475"/>
      <c r="N1188" s="51" t="str">
        <f>IF($P$33&gt;=34,34,"")</f>
        <v/>
      </c>
      <c r="O1188" s="62" t="s">
        <v>52</v>
      </c>
      <c r="P1188" s="51" t="str">
        <f>IF($P$33&gt;=34,$P$33,"")</f>
        <v/>
      </c>
      <c r="Q1188" s="63"/>
      <c r="R1188" s="64"/>
    </row>
    <row r="1189" spans="1:20" ht="12" customHeight="1" x14ac:dyDescent="0.2">
      <c r="A1189" s="83"/>
      <c r="B1189" s="470"/>
      <c r="C1189" s="476" t="str">
        <f>IF(CODE(B1188)=89,"Announcements and Bulletins from RAD Canada","Announcements and Bulletins from RAD Canada")</f>
        <v>Announcements and Bulletins from RAD Canada</v>
      </c>
      <c r="D1189" s="477"/>
      <c r="E1189" s="477"/>
      <c r="F1189" s="477"/>
      <c r="G1189" s="477"/>
      <c r="H1189" s="477"/>
      <c r="I1189" s="478"/>
      <c r="J1189" s="479"/>
      <c r="K1189" s="400"/>
      <c r="L1189" s="400"/>
      <c r="M1189" s="400"/>
      <c r="N1189" s="400"/>
      <c r="O1189" s="400"/>
      <c r="P1189" s="400"/>
      <c r="Q1189" s="63"/>
      <c r="R1189" s="64"/>
    </row>
    <row r="1190" spans="1:20" x14ac:dyDescent="0.2">
      <c r="A1190" s="83"/>
      <c r="B1190" s="81"/>
      <c r="C1190" s="81"/>
      <c r="D1190" s="81"/>
      <c r="E1190" s="81"/>
      <c r="F1190" s="81"/>
      <c r="G1190" s="81"/>
      <c r="H1190" s="81"/>
      <c r="I1190" s="81"/>
      <c r="J1190" s="81"/>
      <c r="K1190" s="81"/>
      <c r="L1190" s="81"/>
      <c r="M1190" s="81"/>
      <c r="N1190" s="81"/>
      <c r="O1190" s="81"/>
      <c r="P1190" s="81"/>
      <c r="Q1190" s="63"/>
      <c r="R1190" s="64"/>
    </row>
    <row r="1191" spans="1:20" x14ac:dyDescent="0.2">
      <c r="A1191" s="83"/>
      <c r="B1191" s="62"/>
      <c r="C1191" s="62"/>
      <c r="D1191" s="62"/>
      <c r="E1191" s="62"/>
      <c r="F1191" s="62"/>
      <c r="G1191" s="62"/>
      <c r="H1191" s="62"/>
      <c r="I1191" s="62"/>
      <c r="J1191" s="62"/>
      <c r="K1191" s="62"/>
      <c r="L1191" s="62"/>
      <c r="M1191" s="62"/>
      <c r="N1191" s="62"/>
      <c r="O1191" s="62"/>
      <c r="P1191" s="62"/>
      <c r="Q1191" s="63"/>
      <c r="R1191" s="64"/>
    </row>
    <row r="1192" spans="1:20" x14ac:dyDescent="0.2">
      <c r="A1192" s="83"/>
      <c r="B1192" s="401" t="s">
        <v>281</v>
      </c>
      <c r="C1192" s="402"/>
      <c r="D1192" s="402"/>
      <c r="E1192" s="402"/>
      <c r="F1192" s="402"/>
      <c r="G1192" s="402"/>
      <c r="H1192" s="62"/>
      <c r="I1192" s="62"/>
      <c r="J1192" s="62"/>
      <c r="K1192" s="62"/>
      <c r="L1192" s="62"/>
      <c r="M1192" s="62"/>
      <c r="N1192" s="62"/>
      <c r="O1192" s="62"/>
      <c r="P1192" s="62"/>
      <c r="Q1192" s="63"/>
      <c r="R1192" s="64"/>
    </row>
    <row r="1193" spans="1:20" ht="15.75" x14ac:dyDescent="0.25">
      <c r="A1193" s="83"/>
      <c r="B1193" s="402"/>
      <c r="C1193" s="402"/>
      <c r="D1193" s="402"/>
      <c r="E1193" s="402"/>
      <c r="F1193" s="402"/>
      <c r="G1193" s="402"/>
      <c r="H1193" s="82"/>
      <c r="I1193" s="403"/>
      <c r="J1193" s="403"/>
      <c r="K1193" s="403"/>
      <c r="L1193" s="403"/>
      <c r="M1193" s="403"/>
      <c r="N1193" s="403"/>
      <c r="O1193" s="403"/>
      <c r="P1193" s="403"/>
      <c r="Q1193" s="63"/>
      <c r="R1193" s="64"/>
    </row>
    <row r="1194" spans="1:20" x14ac:dyDescent="0.2">
      <c r="A1194" s="83"/>
      <c r="B1194" s="400"/>
      <c r="C1194" s="400"/>
      <c r="D1194" s="400"/>
      <c r="E1194" s="400"/>
      <c r="F1194" s="400"/>
      <c r="G1194" s="400"/>
      <c r="H1194" s="400"/>
      <c r="I1194" s="400"/>
      <c r="J1194" s="400"/>
      <c r="K1194" s="400"/>
      <c r="L1194" s="400"/>
      <c r="M1194" s="403"/>
      <c r="N1194" s="403"/>
      <c r="O1194" s="403"/>
      <c r="P1194" s="403"/>
      <c r="Q1194" s="63"/>
      <c r="R1194" s="64"/>
    </row>
    <row r="1195" spans="1:20" x14ac:dyDescent="0.2">
      <c r="A1195" s="83"/>
      <c r="B1195" s="404" t="s">
        <v>260</v>
      </c>
      <c r="C1195" s="404"/>
      <c r="D1195" s="404"/>
      <c r="E1195" s="404"/>
      <c r="F1195" s="400"/>
      <c r="G1195" s="400"/>
      <c r="H1195" s="400"/>
      <c r="I1195" s="400"/>
      <c r="J1195" s="400"/>
      <c r="K1195" s="400"/>
      <c r="L1195" s="400"/>
      <c r="M1195" s="403"/>
      <c r="N1195" s="403"/>
      <c r="O1195" s="403"/>
      <c r="P1195" s="403"/>
      <c r="Q1195" s="63"/>
      <c r="R1195" s="64"/>
    </row>
    <row r="1196" spans="1:20" x14ac:dyDescent="0.2">
      <c r="A1196" s="83"/>
      <c r="B1196" s="69"/>
      <c r="C1196" s="324" t="s">
        <v>75</v>
      </c>
      <c r="D1196" s="408"/>
      <c r="E1196" s="409"/>
      <c r="F1196" s="400"/>
      <c r="G1196" s="400"/>
      <c r="H1196" s="400"/>
      <c r="I1196" s="400"/>
      <c r="J1196" s="400"/>
      <c r="K1196" s="400"/>
      <c r="L1196" s="400"/>
      <c r="M1196" s="70"/>
      <c r="N1196" s="70"/>
      <c r="O1196" s="70"/>
      <c r="P1196" s="70"/>
      <c r="Q1196" s="63"/>
      <c r="R1196" s="64"/>
    </row>
    <row r="1197" spans="1:20" x14ac:dyDescent="0.2">
      <c r="A1197" s="83"/>
      <c r="B1197" s="71"/>
      <c r="C1197" s="324" t="s">
        <v>128</v>
      </c>
      <c r="D1197" s="408"/>
      <c r="E1197" s="409"/>
      <c r="F1197" s="400"/>
      <c r="G1197" s="400"/>
      <c r="H1197" s="400"/>
      <c r="I1197" s="400"/>
      <c r="J1197" s="400"/>
      <c r="K1197" s="400"/>
      <c r="L1197" s="400"/>
      <c r="M1197" s="407" t="s">
        <v>256</v>
      </c>
      <c r="N1197" s="407"/>
      <c r="O1197" s="407"/>
      <c r="P1197" s="407"/>
      <c r="Q1197" s="63"/>
      <c r="R1197" s="64"/>
    </row>
    <row r="1198" spans="1:20" x14ac:dyDescent="0.2">
      <c r="A1198" s="83"/>
      <c r="B1198" s="56"/>
      <c r="C1198" s="324" t="s">
        <v>282</v>
      </c>
      <c r="D1198" s="408"/>
      <c r="E1198" s="409"/>
      <c r="F1198" s="400"/>
      <c r="G1198" s="400"/>
      <c r="H1198" s="400"/>
      <c r="I1198" s="400"/>
      <c r="J1198" s="400"/>
      <c r="K1198" s="400"/>
      <c r="L1198" s="400"/>
      <c r="M1198" s="407"/>
      <c r="N1198" s="407"/>
      <c r="O1198" s="407"/>
      <c r="P1198" s="407"/>
      <c r="Q1198" s="63"/>
      <c r="R1198" s="64"/>
    </row>
    <row r="1199" spans="1:20" x14ac:dyDescent="0.2">
      <c r="A1199" s="83"/>
      <c r="B1199" s="520"/>
      <c r="C1199" s="520"/>
      <c r="D1199" s="520"/>
      <c r="E1199" s="520"/>
      <c r="F1199" s="520"/>
      <c r="G1199" s="520"/>
      <c r="H1199" s="520"/>
      <c r="I1199" s="520"/>
      <c r="J1199" s="520"/>
      <c r="K1199" s="520"/>
      <c r="L1199" s="520"/>
      <c r="M1199" s="520"/>
      <c r="N1199" s="520"/>
      <c r="O1199" s="520"/>
      <c r="P1199" s="520"/>
      <c r="Q1199" s="63"/>
      <c r="R1199" s="64"/>
    </row>
    <row r="1200" spans="1:20" x14ac:dyDescent="0.2">
      <c r="A1200" s="83"/>
      <c r="B1200" s="432" t="s">
        <v>117</v>
      </c>
      <c r="C1200" s="433"/>
      <c r="D1200" s="434"/>
      <c r="E1200" s="442" t="str">
        <f>IF(AND($P$33&gt;=35,NOT(ISBLANK($E$10))),$E$10,"")</f>
        <v/>
      </c>
      <c r="F1200" s="443"/>
      <c r="G1200" s="444"/>
      <c r="H1200" s="414" t="s">
        <v>124</v>
      </c>
      <c r="I1200" s="415"/>
      <c r="J1200" s="442" t="str">
        <f>IF(AND($P$33&gt;=35,NOT(ISBLANK($J$10))),$J$10,"")</f>
        <v/>
      </c>
      <c r="K1200" s="443"/>
      <c r="L1200" s="444"/>
      <c r="M1200" s="414" t="s">
        <v>118</v>
      </c>
      <c r="N1200" s="415"/>
      <c r="O1200" s="430" t="str">
        <f>IF(AND($P$33&gt;=35,NOT(ISBLANK($O$10))),$O$10,"")</f>
        <v/>
      </c>
      <c r="P1200" s="521"/>
      <c r="Q1200" s="63"/>
      <c r="R1200" s="545" t="s">
        <v>307</v>
      </c>
      <c r="S1200" s="546"/>
      <c r="T1200" s="547"/>
    </row>
    <row r="1201" spans="1:20" x14ac:dyDescent="0.2">
      <c r="A1201" s="83"/>
      <c r="B1201" s="432" t="s">
        <v>240</v>
      </c>
      <c r="C1201" s="433"/>
      <c r="D1201" s="434"/>
      <c r="E1201" s="435" t="str">
        <f>IF(NOT($N1223=35),"",IF(ISERROR(LOOKUP(35,'Teacher Summary Sheet'!$M$19:$M$181)),"",IF(VLOOKUP(35,'Teacher Summary Sheet'!$M$19:$R$181,2)=0,"",VLOOKUP(35,'Teacher Summary Sheet'!$M$19:$R$181,2))))</f>
        <v/>
      </c>
      <c r="F1201" s="436"/>
      <c r="G1201" s="437"/>
      <c r="H1201" s="438" t="s">
        <v>119</v>
      </c>
      <c r="I1201" s="439"/>
      <c r="J1201" s="102" t="str">
        <f>IF(NOT($N1223=35),"",IF(ISERROR(LOOKUP(35,'Teacher Summary Sheet'!$M$19:$M$181)),"",IF(VLOOKUP(35,'Teacher Summary Sheet'!$M$19:$R$181,6)=0,"",VLOOKUP(35,'Teacher Summary Sheet'!$M$19:$R$181,6))))</f>
        <v/>
      </c>
      <c r="K1201" s="414" t="s">
        <v>179</v>
      </c>
      <c r="L1201" s="419"/>
      <c r="M1201" s="415"/>
      <c r="N1201" s="412" t="str">
        <f>IF(NOT($N1223=35),"",IF(ISERROR(LOOKUP(35,'Teacher Summary Sheet'!$M$19:$M$181)),"",IF('Teacher Summary Sheet'!$F$31=0,"",'Teacher Summary Sheet'!$F$31)))</f>
        <v/>
      </c>
      <c r="O1201" s="440"/>
      <c r="P1201" s="413"/>
      <c r="Q1201" s="63"/>
      <c r="R1201" s="548"/>
      <c r="S1201" s="549"/>
      <c r="T1201" s="550"/>
    </row>
    <row r="1202" spans="1:20" ht="14.25" x14ac:dyDescent="0.2">
      <c r="A1202" s="83"/>
      <c r="B1202" s="410" t="s">
        <v>241</v>
      </c>
      <c r="C1202" s="420"/>
      <c r="D1202" s="411"/>
      <c r="E1202" s="421" t="str">
        <f>IF(NOT($N1223=35),"",IF(ISERROR(LOOKUP(35,'Teacher Summary Sheet'!$M$19:$M$181)),"",IF(VLOOKUP(35,'Teacher Summary Sheet'!$M$19:$R$181,3)=0,"",VLOOKUP(35,'Teacher Summary Sheet'!$M$19:$R$181,3))))</f>
        <v/>
      </c>
      <c r="F1202" s="422"/>
      <c r="G1202" s="422"/>
      <c r="H1202" s="422"/>
      <c r="I1202" s="423"/>
      <c r="J1202" s="414" t="s">
        <v>124</v>
      </c>
      <c r="K1202" s="415"/>
      <c r="L1202" s="424" t="str">
        <f>IF(NOT($N1223=35),"",IF(ISERROR(LOOKUP(35,'Teacher Summary Sheet'!$M$19:$M$181)),"",IF(VLOOKUP(35,'Teacher Summary Sheet'!$M$19:$R$181,4)=0,"",VLOOKUP(35,'Teacher Summary Sheet'!$M$19:$R$181,4))))</f>
        <v/>
      </c>
      <c r="M1202" s="425"/>
      <c r="N1202" s="425"/>
      <c r="O1202" s="425"/>
      <c r="P1202" s="426"/>
      <c r="Q1202" s="63"/>
      <c r="R1202" s="125" t="str">
        <f>IF(NOT(N1223=35),"",IF(COUNTIF(R1204:R1210,"P")=7,"P","O"))</f>
        <v/>
      </c>
      <c r="S1202" s="110" t="str">
        <f>IF(NOT(N1223=35),"",IF(COUNTIF(R1204:R1210,"P")=7,"Complete","Incomplete"))</f>
        <v/>
      </c>
      <c r="T1202" s="111"/>
    </row>
    <row r="1203" spans="1:20" x14ac:dyDescent="0.2">
      <c r="A1203" s="83"/>
      <c r="B1203" s="410" t="s">
        <v>120</v>
      </c>
      <c r="C1203" s="420"/>
      <c r="D1203" s="411"/>
      <c r="E1203" s="427"/>
      <c r="F1203" s="428"/>
      <c r="G1203" s="428"/>
      <c r="H1203" s="428"/>
      <c r="I1203" s="428"/>
      <c r="J1203" s="429"/>
      <c r="K1203" s="62" t="s">
        <v>121</v>
      </c>
      <c r="L1203" s="427"/>
      <c r="M1203" s="428"/>
      <c r="N1203" s="428"/>
      <c r="O1203" s="428"/>
      <c r="P1203" s="429"/>
      <c r="Q1203" s="63"/>
    </row>
    <row r="1204" spans="1:20" ht="14.25" x14ac:dyDescent="0.2">
      <c r="A1204" s="83"/>
      <c r="B1204" s="410" t="s">
        <v>196</v>
      </c>
      <c r="C1204" s="420"/>
      <c r="D1204" s="411"/>
      <c r="E1204" s="427"/>
      <c r="F1204" s="428"/>
      <c r="G1204" s="428"/>
      <c r="H1204" s="428"/>
      <c r="I1204" s="429"/>
      <c r="J1204" s="73" t="s">
        <v>197</v>
      </c>
      <c r="K1204" s="405"/>
      <c r="L1204" s="406"/>
      <c r="M1204" s="414" t="s">
        <v>212</v>
      </c>
      <c r="N1204" s="415"/>
      <c r="O1204" s="405"/>
      <c r="P1204" s="406"/>
      <c r="Q1204" s="63"/>
      <c r="R1204" s="124" t="str">
        <f>IF(NOT(N1223=35),"",IF(OR(COUNTBLANK(E1202:E1202)=1,COUNTBLANK(L1202:L1202)=1),"O","P"))</f>
        <v/>
      </c>
      <c r="S1204" s="108" t="str">
        <f>IF(NOT(N1223=35),"","Candidate Name")</f>
        <v/>
      </c>
      <c r="T1204" s="64"/>
    </row>
    <row r="1205" spans="1:20" ht="14.25" x14ac:dyDescent="0.2">
      <c r="A1205" s="83"/>
      <c r="B1205" s="410" t="s">
        <v>198</v>
      </c>
      <c r="C1205" s="420"/>
      <c r="D1205" s="411"/>
      <c r="E1205" s="454"/>
      <c r="F1205" s="455"/>
      <c r="G1205" s="455"/>
      <c r="H1205" s="456"/>
      <c r="I1205" s="74" t="s">
        <v>199</v>
      </c>
      <c r="J1205" s="427"/>
      <c r="K1205" s="428"/>
      <c r="L1205" s="428"/>
      <c r="M1205" s="428"/>
      <c r="N1205" s="428"/>
      <c r="O1205" s="428"/>
      <c r="P1205" s="429"/>
      <c r="Q1205" s="63"/>
      <c r="R1205" s="124" t="str">
        <f>IF(NOT(N1223=35),"",IF(COUNTBLANK(E1201:E1201)=1,"O","P"))</f>
        <v/>
      </c>
      <c r="S1205" s="108" t="str">
        <f>IF(NOT(N1223=35),"","Candidate ID")</f>
        <v/>
      </c>
      <c r="T1205" s="64"/>
    </row>
    <row r="1206" spans="1:20" ht="14.25" x14ac:dyDescent="0.2">
      <c r="A1206" s="83"/>
      <c r="B1206" s="410" t="s">
        <v>227</v>
      </c>
      <c r="C1206" s="420"/>
      <c r="D1206" s="411"/>
      <c r="E1206" s="75" t="s">
        <v>218</v>
      </c>
      <c r="F1206" s="405"/>
      <c r="G1206" s="448"/>
      <c r="H1206" s="75" t="s">
        <v>138</v>
      </c>
      <c r="I1206" s="449"/>
      <c r="J1206" s="450"/>
      <c r="K1206" s="76" t="s">
        <v>139</v>
      </c>
      <c r="L1206" s="451"/>
      <c r="M1206" s="452"/>
      <c r="N1206" s="76" t="s">
        <v>228</v>
      </c>
      <c r="O1206" s="453" t="str">
        <f ca="1">IF(OR(ISBLANK(L1206),ISBLANK(I1206),ISBLANK(F1206),COUNTBLANK(J1201:J1201)=1),"",IF(DATEDIF(DATE(L1206,VLOOKUP(I1206,data!$T$2:$U$13,2,FALSE),F1206),IF(AND(TODAY()&lt;data!$AJ$12,TODAY()&gt;data!$AI$12),data!$AI$3,data!$AJ$3),"Y")&gt;=data!$AC$37,YEAR(TODAY())-L1206,data!$AD$3))</f>
        <v/>
      </c>
      <c r="P1206" s="413"/>
      <c r="Q1206" s="63"/>
      <c r="R1206" s="124" t="str">
        <f>IF(NOT(N1223=35),"",IF(OR(ISBLANK(E1203),ISBLANK(L1203),ISBLANK(K1204),ISBLANK(O1204)),"O","P"))</f>
        <v/>
      </c>
      <c r="S1206" s="108" t="str">
        <f>IF(NOT(N1223=35),"","Address")</f>
        <v/>
      </c>
      <c r="T1206" s="64"/>
    </row>
    <row r="1207" spans="1:20" ht="15" thickBot="1" x14ac:dyDescent="0.25">
      <c r="A1207" s="83"/>
      <c r="B1207" s="410" t="s">
        <v>214</v>
      </c>
      <c r="C1207" s="411"/>
      <c r="D1207" s="412" t="str">
        <f>IF(NOT($N1223=35),"",IF(ISERROR(LOOKUP(35,'Teacher Summary Sheet'!$M$19:$M$181)),"",IF(VLOOKUP(35,'Teacher Summary Sheet'!$M$19:$R$181,5)=0,"",VLOOKUP(35,'Teacher Summary Sheet'!$M$19:$R$181,5))))</f>
        <v/>
      </c>
      <c r="E1207" s="413"/>
      <c r="F1207" s="414" t="s">
        <v>319</v>
      </c>
      <c r="G1207" s="415"/>
      <c r="H1207" s="416"/>
      <c r="I1207" s="417"/>
      <c r="J1207" s="418"/>
      <c r="K1207" s="414" t="s">
        <v>320</v>
      </c>
      <c r="L1207" s="419"/>
      <c r="M1207" s="419"/>
      <c r="N1207" s="415"/>
      <c r="O1207" s="405" t="s">
        <v>268</v>
      </c>
      <c r="P1207" s="406"/>
      <c r="Q1207" s="63"/>
      <c r="R1207" s="124" t="str">
        <f>IF(NOT(N1223=35),"",IF(OR(ISBLANK(F1206),ISBLANK(I1206),ISBLANK(L1206)),"O","P"))</f>
        <v/>
      </c>
      <c r="S1207" s="108" t="str">
        <f>IF(NOT(N1223=35),"","Date of Birth")</f>
        <v/>
      </c>
      <c r="T1207" s="64"/>
    </row>
    <row r="1208" spans="1:20" ht="14.25" x14ac:dyDescent="0.2">
      <c r="A1208" s="83"/>
      <c r="B1208" s="522" t="s">
        <v>297</v>
      </c>
      <c r="C1208" s="463"/>
      <c r="D1208" s="463"/>
      <c r="E1208" s="463"/>
      <c r="F1208" s="463"/>
      <c r="G1208" s="463"/>
      <c r="H1208" s="463"/>
      <c r="I1208" s="463"/>
      <c r="J1208" s="463"/>
      <c r="K1208" s="463"/>
      <c r="L1208" s="463"/>
      <c r="M1208" s="463"/>
      <c r="N1208" s="463"/>
      <c r="O1208" s="463"/>
      <c r="P1208" s="464"/>
      <c r="Q1208" s="63"/>
      <c r="R1208" s="124" t="str">
        <f>IF(NOT(N1223=35),"",IF(COUNTBLANK(J1201:J1201)=1,"O","P"))</f>
        <v/>
      </c>
      <c r="S1208" s="112" t="str">
        <f>IF(NOT(N1223=35),"","Exam Level")</f>
        <v/>
      </c>
      <c r="T1208" s="64"/>
    </row>
    <row r="1209" spans="1:20" ht="14.25" x14ac:dyDescent="0.2">
      <c r="A1209" s="83"/>
      <c r="B1209" s="465"/>
      <c r="C1209" s="466"/>
      <c r="D1209" s="466"/>
      <c r="E1209" s="466"/>
      <c r="F1209" s="466"/>
      <c r="G1209" s="466"/>
      <c r="H1209" s="466"/>
      <c r="I1209" s="466"/>
      <c r="J1209" s="466"/>
      <c r="K1209" s="466"/>
      <c r="L1209" s="466"/>
      <c r="M1209" s="466"/>
      <c r="N1209" s="466"/>
      <c r="O1209" s="466"/>
      <c r="P1209" s="467"/>
      <c r="Q1209" s="63"/>
      <c r="R1209" s="124" t="str">
        <f>IF(NOT(N1223=35),"",IF(COUNTBLANK(D1207:D1207)=1,"O","P"))</f>
        <v/>
      </c>
      <c r="S1209" s="109" t="str">
        <f>IF(NOT(N1223=35),"","Gender")</f>
        <v/>
      </c>
      <c r="T1209" s="64"/>
    </row>
    <row r="1210" spans="1:20" ht="14.25" x14ac:dyDescent="0.2">
      <c r="A1210" s="83"/>
      <c r="B1210" s="432" t="s">
        <v>298</v>
      </c>
      <c r="C1210" s="433"/>
      <c r="D1210" s="434"/>
      <c r="E1210" s="405"/>
      <c r="F1210" s="406"/>
      <c r="G1210" s="432" t="s">
        <v>299</v>
      </c>
      <c r="H1210" s="433"/>
      <c r="I1210" s="434"/>
      <c r="J1210" s="405"/>
      <c r="K1210" s="448"/>
      <c r="L1210" s="406"/>
      <c r="M1210" s="414" t="s">
        <v>300</v>
      </c>
      <c r="N1210" s="415"/>
      <c r="O1210" s="457"/>
      <c r="P1210" s="458"/>
      <c r="Q1210" s="63"/>
      <c r="R1210" s="124" t="str">
        <f>IF(NOT(N1223=35),"",IF(ISBLANK(H1207),"O","P"))</f>
        <v/>
      </c>
      <c r="S1210" s="109" t="str">
        <f>IF(NOT(N1223=35),"","Height")</f>
        <v/>
      </c>
      <c r="T1210" s="64"/>
    </row>
    <row r="1211" spans="1:20" x14ac:dyDescent="0.2">
      <c r="A1211" s="83"/>
      <c r="B1211" s="77" t="s">
        <v>153</v>
      </c>
      <c r="C1211" s="405"/>
      <c r="D1211" s="406"/>
      <c r="E1211" s="414" t="s">
        <v>301</v>
      </c>
      <c r="F1211" s="415"/>
      <c r="G1211" s="459"/>
      <c r="H1211" s="460"/>
      <c r="I1211" s="461"/>
      <c r="J1211" s="414" t="s">
        <v>302</v>
      </c>
      <c r="K1211" s="415"/>
      <c r="L1211" s="454"/>
      <c r="M1211" s="455"/>
      <c r="N1211" s="455"/>
      <c r="O1211" s="455"/>
      <c r="P1211" s="456"/>
      <c r="Q1211" s="63"/>
      <c r="R1211" s="64"/>
      <c r="S1211" s="64"/>
      <c r="T1211" s="64"/>
    </row>
    <row r="1212" spans="1:20" x14ac:dyDescent="0.2">
      <c r="A1212" s="83"/>
      <c r="B1212" s="410" t="s">
        <v>116</v>
      </c>
      <c r="C1212" s="420"/>
      <c r="D1212" s="420"/>
      <c r="E1212" s="420"/>
      <c r="F1212" s="420"/>
      <c r="G1212" s="420"/>
      <c r="H1212" s="420"/>
      <c r="I1212" s="420"/>
      <c r="J1212" s="420"/>
      <c r="K1212" s="420"/>
      <c r="L1212" s="420"/>
      <c r="M1212" s="420"/>
      <c r="N1212" s="420"/>
      <c r="O1212" s="420"/>
      <c r="P1212" s="411"/>
      <c r="Q1212" s="63"/>
      <c r="R1212" s="64"/>
      <c r="S1212" s="64"/>
      <c r="T1212" s="64"/>
    </row>
    <row r="1213" spans="1:20" x14ac:dyDescent="0.2">
      <c r="A1213" s="83"/>
      <c r="B1213" s="410" t="s">
        <v>298</v>
      </c>
      <c r="C1213" s="420"/>
      <c r="D1213" s="411"/>
      <c r="E1213" s="405"/>
      <c r="F1213" s="406"/>
      <c r="G1213" s="410" t="s">
        <v>299</v>
      </c>
      <c r="H1213" s="420"/>
      <c r="I1213" s="411"/>
      <c r="J1213" s="454"/>
      <c r="K1213" s="455"/>
      <c r="L1213" s="456"/>
      <c r="M1213" s="414" t="s">
        <v>300</v>
      </c>
      <c r="N1213" s="415"/>
      <c r="O1213" s="457"/>
      <c r="P1213" s="458"/>
      <c r="Q1213" s="63"/>
      <c r="R1213" s="64"/>
    </row>
    <row r="1214" spans="1:20" ht="13.5" thickBot="1" x14ac:dyDescent="0.25">
      <c r="A1214" s="83"/>
      <c r="B1214" s="78" t="s">
        <v>153</v>
      </c>
      <c r="C1214" s="492"/>
      <c r="D1214" s="493"/>
      <c r="E1214" s="494" t="s">
        <v>301</v>
      </c>
      <c r="F1214" s="495"/>
      <c r="G1214" s="496"/>
      <c r="H1214" s="497"/>
      <c r="I1214" s="498"/>
      <c r="J1214" s="414" t="s">
        <v>302</v>
      </c>
      <c r="K1214" s="415"/>
      <c r="L1214" s="454"/>
      <c r="M1214" s="455"/>
      <c r="N1214" s="455"/>
      <c r="O1214" s="455"/>
      <c r="P1214" s="456"/>
      <c r="Q1214" s="63"/>
      <c r="R1214" s="64"/>
    </row>
    <row r="1215" spans="1:20" x14ac:dyDescent="0.2">
      <c r="A1215" s="83"/>
      <c r="B1215" s="499" t="s">
        <v>126</v>
      </c>
      <c r="C1215" s="500"/>
      <c r="D1215" s="500"/>
      <c r="E1215" s="500"/>
      <c r="F1215" s="500"/>
      <c r="G1215" s="500"/>
      <c r="H1215" s="500"/>
      <c r="I1215" s="501"/>
      <c r="J1215" s="505"/>
      <c r="K1215" s="506"/>
      <c r="L1215" s="506"/>
      <c r="M1215" s="506"/>
      <c r="N1215" s="506"/>
      <c r="O1215" s="506"/>
      <c r="P1215" s="507"/>
      <c r="Q1215" s="63"/>
      <c r="R1215" s="64"/>
    </row>
    <row r="1216" spans="1:20" x14ac:dyDescent="0.2">
      <c r="A1216" s="83"/>
      <c r="B1216" s="502"/>
      <c r="C1216" s="503"/>
      <c r="D1216" s="503"/>
      <c r="E1216" s="503"/>
      <c r="F1216" s="503"/>
      <c r="G1216" s="503"/>
      <c r="H1216" s="503"/>
      <c r="I1216" s="504"/>
      <c r="J1216" s="508"/>
      <c r="K1216" s="509"/>
      <c r="L1216" s="509"/>
      <c r="M1216" s="509"/>
      <c r="N1216" s="509"/>
      <c r="O1216" s="509"/>
      <c r="P1216" s="510"/>
      <c r="Q1216" s="63"/>
      <c r="R1216" s="64"/>
    </row>
    <row r="1217" spans="1:18" x14ac:dyDescent="0.2">
      <c r="A1217" s="83"/>
      <c r="B1217" s="514" t="s">
        <v>127</v>
      </c>
      <c r="C1217" s="515"/>
      <c r="D1217" s="515"/>
      <c r="E1217" s="515"/>
      <c r="F1217" s="515"/>
      <c r="G1217" s="515"/>
      <c r="H1217" s="515"/>
      <c r="I1217" s="516"/>
      <c r="J1217" s="508"/>
      <c r="K1217" s="509"/>
      <c r="L1217" s="509"/>
      <c r="M1217" s="509"/>
      <c r="N1217" s="509"/>
      <c r="O1217" s="509"/>
      <c r="P1217" s="510"/>
      <c r="Q1217" s="63"/>
      <c r="R1217" s="64"/>
    </row>
    <row r="1218" spans="1:18" ht="13.5" thickBot="1" x14ac:dyDescent="0.25">
      <c r="A1218" s="83"/>
      <c r="B1218" s="517"/>
      <c r="C1218" s="518"/>
      <c r="D1218" s="518"/>
      <c r="E1218" s="518"/>
      <c r="F1218" s="518"/>
      <c r="G1218" s="518"/>
      <c r="H1218" s="518"/>
      <c r="I1218" s="519"/>
      <c r="J1218" s="511"/>
      <c r="K1218" s="512"/>
      <c r="L1218" s="512"/>
      <c r="M1218" s="512"/>
      <c r="N1218" s="512"/>
      <c r="O1218" s="512"/>
      <c r="P1218" s="513"/>
      <c r="Q1218" s="63"/>
      <c r="R1218" s="64"/>
    </row>
    <row r="1219" spans="1:18" x14ac:dyDescent="0.2">
      <c r="A1219" s="83"/>
      <c r="B1219" s="480" t="s">
        <v>10</v>
      </c>
      <c r="C1219" s="481"/>
      <c r="D1219" s="481"/>
      <c r="E1219" s="481"/>
      <c r="F1219" s="481"/>
      <c r="G1219" s="481"/>
      <c r="H1219" s="481"/>
      <c r="I1219" s="482"/>
      <c r="J1219" s="79">
        <v>1</v>
      </c>
      <c r="K1219" s="483"/>
      <c r="L1219" s="484"/>
      <c r="M1219" s="484"/>
      <c r="N1219" s="484"/>
      <c r="O1219" s="484"/>
      <c r="P1219" s="485"/>
      <c r="Q1219" s="63"/>
      <c r="R1219" s="64"/>
    </row>
    <row r="1220" spans="1:18" x14ac:dyDescent="0.2">
      <c r="A1220" s="83"/>
      <c r="B1220" s="486" t="s">
        <v>276</v>
      </c>
      <c r="C1220" s="487"/>
      <c r="D1220" s="487"/>
      <c r="E1220" s="487"/>
      <c r="F1220" s="487"/>
      <c r="G1220" s="487"/>
      <c r="H1220" s="487"/>
      <c r="I1220" s="488"/>
      <c r="J1220" s="80">
        <v>2</v>
      </c>
      <c r="K1220" s="454"/>
      <c r="L1220" s="455"/>
      <c r="M1220" s="455"/>
      <c r="N1220" s="455"/>
      <c r="O1220" s="455"/>
      <c r="P1220" s="456"/>
      <c r="Q1220" s="63"/>
      <c r="R1220" s="64"/>
    </row>
    <row r="1221" spans="1:18" x14ac:dyDescent="0.2">
      <c r="A1221" s="83"/>
      <c r="B1221" s="489" t="s">
        <v>234</v>
      </c>
      <c r="C1221" s="490"/>
      <c r="D1221" s="490"/>
      <c r="E1221" s="490"/>
      <c r="F1221" s="490"/>
      <c r="G1221" s="490"/>
      <c r="H1221" s="490"/>
      <c r="I1221" s="491"/>
      <c r="J1221" s="80">
        <v>3</v>
      </c>
      <c r="K1221" s="454"/>
      <c r="L1221" s="455"/>
      <c r="M1221" s="455"/>
      <c r="N1221" s="455"/>
      <c r="O1221" s="455"/>
      <c r="P1221" s="456"/>
      <c r="Q1221" s="63"/>
      <c r="R1221" s="64"/>
    </row>
    <row r="1222" spans="1:18" x14ac:dyDescent="0.2">
      <c r="A1222" s="83"/>
      <c r="B1222" s="468"/>
      <c r="C1222" s="468"/>
      <c r="D1222" s="468"/>
      <c r="E1222" s="468"/>
      <c r="F1222" s="468"/>
      <c r="G1222" s="468"/>
      <c r="H1222" s="468"/>
      <c r="I1222" s="468"/>
      <c r="J1222" s="468"/>
      <c r="K1222" s="468"/>
      <c r="L1222" s="468"/>
      <c r="M1222" s="468"/>
      <c r="N1222" s="468"/>
      <c r="O1222" s="468"/>
      <c r="P1222" s="468"/>
      <c r="Q1222" s="63"/>
      <c r="R1222" s="64"/>
    </row>
    <row r="1223" spans="1:18" ht="12" customHeight="1" x14ac:dyDescent="0.2">
      <c r="A1223" s="83"/>
      <c r="B1223" s="469" t="s">
        <v>84</v>
      </c>
      <c r="C1223" s="471" t="str">
        <f>IF(CODE(B1223)=89,"This candidate would like to receive Special","This candidate would not like to receive Special")</f>
        <v>This candidate would like to receive Special</v>
      </c>
      <c r="D1223" s="472"/>
      <c r="E1223" s="472"/>
      <c r="F1223" s="472"/>
      <c r="G1223" s="472"/>
      <c r="H1223" s="472"/>
      <c r="I1223" s="473"/>
      <c r="J1223" s="81"/>
      <c r="K1223" s="474" t="s">
        <v>235</v>
      </c>
      <c r="L1223" s="474"/>
      <c r="M1223" s="475"/>
      <c r="N1223" s="51" t="str">
        <f>IF($P$33&gt;=35,35,"")</f>
        <v/>
      </c>
      <c r="O1223" s="62" t="s">
        <v>52</v>
      </c>
      <c r="P1223" s="51" t="str">
        <f>IF($P$33&gt;=35,$P$33,"")</f>
        <v/>
      </c>
      <c r="Q1223" s="63"/>
      <c r="R1223" s="64"/>
    </row>
    <row r="1224" spans="1:18" ht="12" customHeight="1" x14ac:dyDescent="0.2">
      <c r="A1224" s="83"/>
      <c r="B1224" s="470"/>
      <c r="C1224" s="476" t="str">
        <f>IF(CODE(B1223)=89,"Announcements and Bulletins from RAD Canada","Announcements and Bulletins from RAD Canada")</f>
        <v>Announcements and Bulletins from RAD Canada</v>
      </c>
      <c r="D1224" s="477"/>
      <c r="E1224" s="477"/>
      <c r="F1224" s="477"/>
      <c r="G1224" s="477"/>
      <c r="H1224" s="477"/>
      <c r="I1224" s="478"/>
      <c r="J1224" s="479"/>
      <c r="K1224" s="400"/>
      <c r="L1224" s="400"/>
      <c r="M1224" s="400"/>
      <c r="N1224" s="400"/>
      <c r="O1224" s="400"/>
      <c r="P1224" s="400"/>
      <c r="Q1224" s="63"/>
      <c r="R1224" s="64"/>
    </row>
    <row r="1225" spans="1:18" x14ac:dyDescent="0.2">
      <c r="A1225" s="83"/>
      <c r="B1225" s="81"/>
      <c r="C1225" s="81"/>
      <c r="D1225" s="81"/>
      <c r="E1225" s="81"/>
      <c r="F1225" s="81"/>
      <c r="G1225" s="81"/>
      <c r="H1225" s="81"/>
      <c r="I1225" s="81"/>
      <c r="J1225" s="81"/>
      <c r="K1225" s="81"/>
      <c r="L1225" s="81"/>
      <c r="M1225" s="81"/>
      <c r="N1225" s="81"/>
      <c r="O1225" s="81"/>
      <c r="P1225" s="81"/>
      <c r="Q1225" s="63"/>
      <c r="R1225" s="64"/>
    </row>
    <row r="1226" spans="1:18" x14ac:dyDescent="0.2">
      <c r="A1226" s="83"/>
      <c r="B1226" s="62"/>
      <c r="C1226" s="62"/>
      <c r="D1226" s="62"/>
      <c r="E1226" s="62"/>
      <c r="F1226" s="62"/>
      <c r="G1226" s="62"/>
      <c r="H1226" s="62"/>
      <c r="I1226" s="62"/>
      <c r="J1226" s="62"/>
      <c r="K1226" s="62"/>
      <c r="L1226" s="62"/>
      <c r="M1226" s="62"/>
      <c r="N1226" s="62"/>
      <c r="O1226" s="62"/>
      <c r="P1226" s="62"/>
      <c r="Q1226" s="63"/>
      <c r="R1226" s="64"/>
    </row>
    <row r="1227" spans="1:18" x14ac:dyDescent="0.2">
      <c r="A1227" s="83"/>
      <c r="B1227" s="401" t="s">
        <v>281</v>
      </c>
      <c r="C1227" s="402"/>
      <c r="D1227" s="402"/>
      <c r="E1227" s="402"/>
      <c r="F1227" s="402"/>
      <c r="G1227" s="402"/>
      <c r="H1227" s="62"/>
      <c r="I1227" s="62"/>
      <c r="J1227" s="62"/>
      <c r="K1227" s="62"/>
      <c r="L1227" s="62"/>
      <c r="M1227" s="62"/>
      <c r="N1227" s="62"/>
      <c r="O1227" s="62"/>
      <c r="P1227" s="62"/>
      <c r="Q1227" s="63"/>
      <c r="R1227" s="64"/>
    </row>
    <row r="1228" spans="1:18" ht="15.75" x14ac:dyDescent="0.25">
      <c r="A1228" s="83"/>
      <c r="B1228" s="402"/>
      <c r="C1228" s="402"/>
      <c r="D1228" s="402"/>
      <c r="E1228" s="402"/>
      <c r="F1228" s="402"/>
      <c r="G1228" s="402"/>
      <c r="H1228" s="82"/>
      <c r="I1228" s="403"/>
      <c r="J1228" s="403"/>
      <c r="K1228" s="403"/>
      <c r="L1228" s="403"/>
      <c r="M1228" s="403"/>
      <c r="N1228" s="403"/>
      <c r="O1228" s="403"/>
      <c r="P1228" s="403"/>
      <c r="Q1228" s="63"/>
      <c r="R1228" s="64"/>
    </row>
    <row r="1229" spans="1:18" x14ac:dyDescent="0.2">
      <c r="A1229" s="83"/>
      <c r="B1229" s="400"/>
      <c r="C1229" s="400"/>
      <c r="D1229" s="400"/>
      <c r="E1229" s="400"/>
      <c r="F1229" s="400"/>
      <c r="G1229" s="400"/>
      <c r="H1229" s="400"/>
      <c r="I1229" s="400"/>
      <c r="J1229" s="400"/>
      <c r="K1229" s="400"/>
      <c r="L1229" s="400"/>
      <c r="M1229" s="403"/>
      <c r="N1229" s="403"/>
      <c r="O1229" s="403"/>
      <c r="P1229" s="403"/>
      <c r="Q1229" s="63"/>
      <c r="R1229" s="64"/>
    </row>
    <row r="1230" spans="1:18" x14ac:dyDescent="0.2">
      <c r="A1230" s="83"/>
      <c r="B1230" s="404" t="s">
        <v>260</v>
      </c>
      <c r="C1230" s="404"/>
      <c r="D1230" s="404"/>
      <c r="E1230" s="404"/>
      <c r="F1230" s="400"/>
      <c r="G1230" s="400"/>
      <c r="H1230" s="400"/>
      <c r="I1230" s="400"/>
      <c r="J1230" s="400"/>
      <c r="K1230" s="400"/>
      <c r="L1230" s="400"/>
      <c r="M1230" s="403"/>
      <c r="N1230" s="403"/>
      <c r="O1230" s="403"/>
      <c r="P1230" s="403"/>
      <c r="Q1230" s="63"/>
      <c r="R1230" s="64"/>
    </row>
    <row r="1231" spans="1:18" x14ac:dyDescent="0.2">
      <c r="A1231" s="83"/>
      <c r="B1231" s="69"/>
      <c r="C1231" s="324" t="s">
        <v>75</v>
      </c>
      <c r="D1231" s="408"/>
      <c r="E1231" s="409"/>
      <c r="F1231" s="400"/>
      <c r="G1231" s="400"/>
      <c r="H1231" s="400"/>
      <c r="I1231" s="400"/>
      <c r="J1231" s="400"/>
      <c r="K1231" s="400"/>
      <c r="L1231" s="400"/>
      <c r="M1231" s="70"/>
      <c r="N1231" s="70"/>
      <c r="O1231" s="70"/>
      <c r="P1231" s="70"/>
      <c r="Q1231" s="63"/>
      <c r="R1231" s="64"/>
    </row>
    <row r="1232" spans="1:18" x14ac:dyDescent="0.2">
      <c r="A1232" s="83"/>
      <c r="B1232" s="71"/>
      <c r="C1232" s="324" t="s">
        <v>128</v>
      </c>
      <c r="D1232" s="408"/>
      <c r="E1232" s="409"/>
      <c r="F1232" s="400"/>
      <c r="G1232" s="400"/>
      <c r="H1232" s="400"/>
      <c r="I1232" s="400"/>
      <c r="J1232" s="400"/>
      <c r="K1232" s="400"/>
      <c r="L1232" s="400"/>
      <c r="M1232" s="407" t="s">
        <v>256</v>
      </c>
      <c r="N1232" s="407"/>
      <c r="O1232" s="407"/>
      <c r="P1232" s="407"/>
      <c r="Q1232" s="63"/>
      <c r="R1232" s="64"/>
    </row>
    <row r="1233" spans="1:20" x14ac:dyDescent="0.2">
      <c r="A1233" s="83"/>
      <c r="B1233" s="56"/>
      <c r="C1233" s="324" t="s">
        <v>282</v>
      </c>
      <c r="D1233" s="408"/>
      <c r="E1233" s="409"/>
      <c r="F1233" s="400"/>
      <c r="G1233" s="400"/>
      <c r="H1233" s="400"/>
      <c r="I1233" s="400"/>
      <c r="J1233" s="400"/>
      <c r="K1233" s="400"/>
      <c r="L1233" s="400"/>
      <c r="M1233" s="407"/>
      <c r="N1233" s="407"/>
      <c r="O1233" s="407"/>
      <c r="P1233" s="407"/>
      <c r="Q1233" s="63"/>
      <c r="R1233" s="64"/>
    </row>
    <row r="1234" spans="1:20" x14ac:dyDescent="0.2">
      <c r="A1234" s="83"/>
      <c r="B1234" s="520"/>
      <c r="C1234" s="520"/>
      <c r="D1234" s="520"/>
      <c r="E1234" s="520"/>
      <c r="F1234" s="520"/>
      <c r="G1234" s="520"/>
      <c r="H1234" s="520"/>
      <c r="I1234" s="520"/>
      <c r="J1234" s="520"/>
      <c r="K1234" s="520"/>
      <c r="L1234" s="520"/>
      <c r="M1234" s="520"/>
      <c r="N1234" s="520"/>
      <c r="O1234" s="520"/>
      <c r="P1234" s="520"/>
      <c r="Q1234" s="63"/>
      <c r="R1234" s="64"/>
    </row>
    <row r="1235" spans="1:20" x14ac:dyDescent="0.2">
      <c r="A1235" s="83"/>
      <c r="B1235" s="432" t="s">
        <v>117</v>
      </c>
      <c r="C1235" s="433"/>
      <c r="D1235" s="434"/>
      <c r="E1235" s="442" t="str">
        <f>IF(AND($P$33&gt;=36,NOT(ISBLANK($E$10))),$E$10,"")</f>
        <v/>
      </c>
      <c r="F1235" s="443"/>
      <c r="G1235" s="444"/>
      <c r="H1235" s="414" t="s">
        <v>124</v>
      </c>
      <c r="I1235" s="415"/>
      <c r="J1235" s="442" t="str">
        <f>IF(AND($P$33&gt;=36,NOT(ISBLANK($J$10))),$J$10,"")</f>
        <v/>
      </c>
      <c r="K1235" s="443"/>
      <c r="L1235" s="444"/>
      <c r="M1235" s="414" t="s">
        <v>118</v>
      </c>
      <c r="N1235" s="415"/>
      <c r="O1235" s="430" t="str">
        <f>IF(AND($P$33&gt;=36,NOT(ISBLANK($O$10))),$O$10,"")</f>
        <v/>
      </c>
      <c r="P1235" s="521"/>
      <c r="Q1235" s="63"/>
      <c r="R1235" s="545" t="s">
        <v>307</v>
      </c>
      <c r="S1235" s="546"/>
      <c r="T1235" s="547"/>
    </row>
    <row r="1236" spans="1:20" x14ac:dyDescent="0.2">
      <c r="A1236" s="83"/>
      <c r="B1236" s="432" t="s">
        <v>240</v>
      </c>
      <c r="C1236" s="433"/>
      <c r="D1236" s="434"/>
      <c r="E1236" s="435" t="str">
        <f>IF(NOT($N1258=36),"",IF(ISERROR(LOOKUP(36,'Teacher Summary Sheet'!$M$19:$M$181)),"",IF(VLOOKUP(36,'Teacher Summary Sheet'!$M$19:$R$181,2)=0,"",VLOOKUP(36,'Teacher Summary Sheet'!$M$19:$R$181,2))))</f>
        <v/>
      </c>
      <c r="F1236" s="436"/>
      <c r="G1236" s="437"/>
      <c r="H1236" s="438" t="s">
        <v>119</v>
      </c>
      <c r="I1236" s="439"/>
      <c r="J1236" s="102" t="str">
        <f>IF(NOT($N1258=36),"",IF(ISERROR(LOOKUP(36,'Teacher Summary Sheet'!$M$19:$M$181)),"",IF(VLOOKUP(36,'Teacher Summary Sheet'!$M$19:$R$181,6)=0,"",VLOOKUP(36,'Teacher Summary Sheet'!$M$19:$R$181,6))))</f>
        <v/>
      </c>
      <c r="K1236" s="414" t="s">
        <v>179</v>
      </c>
      <c r="L1236" s="419"/>
      <c r="M1236" s="415"/>
      <c r="N1236" s="412" t="str">
        <f>IF(NOT($N1258=36),"",IF(ISERROR(LOOKUP(36,'Teacher Summary Sheet'!$M$19:$M$181)),"",IF('Teacher Summary Sheet'!$F$31=0,"",'Teacher Summary Sheet'!$F$31)))</f>
        <v/>
      </c>
      <c r="O1236" s="440"/>
      <c r="P1236" s="413"/>
      <c r="Q1236" s="63"/>
      <c r="R1236" s="548"/>
      <c r="S1236" s="549"/>
      <c r="T1236" s="550"/>
    </row>
    <row r="1237" spans="1:20" ht="14.25" x14ac:dyDescent="0.2">
      <c r="A1237" s="83"/>
      <c r="B1237" s="410" t="s">
        <v>241</v>
      </c>
      <c r="C1237" s="420"/>
      <c r="D1237" s="411"/>
      <c r="E1237" s="421" t="str">
        <f>IF(NOT($N1258=36),"",IF(ISERROR(LOOKUP(36,'Teacher Summary Sheet'!$M$19:$M$181)),"",IF(VLOOKUP(36,'Teacher Summary Sheet'!$M$19:$R$181,3)=0,"",VLOOKUP(36,'Teacher Summary Sheet'!$M$19:$R$181,3))))</f>
        <v/>
      </c>
      <c r="F1237" s="422"/>
      <c r="G1237" s="422"/>
      <c r="H1237" s="422"/>
      <c r="I1237" s="423"/>
      <c r="J1237" s="414" t="s">
        <v>124</v>
      </c>
      <c r="K1237" s="415"/>
      <c r="L1237" s="424" t="str">
        <f>IF(NOT($N1258=36),"",IF(ISERROR(LOOKUP(36,'Teacher Summary Sheet'!$M$19:$M$181)),"",IF(VLOOKUP(36,'Teacher Summary Sheet'!$M$19:$R$181,4)=0,"",VLOOKUP(36,'Teacher Summary Sheet'!$M$19:$R$181,4))))</f>
        <v/>
      </c>
      <c r="M1237" s="425"/>
      <c r="N1237" s="425"/>
      <c r="O1237" s="425"/>
      <c r="P1237" s="426"/>
      <c r="Q1237" s="63"/>
      <c r="R1237" s="125" t="str">
        <f>IF(NOT(N1258=36),"",IF(COUNTIF(R1239:R1245,"P")=7,"P","O"))</f>
        <v/>
      </c>
      <c r="S1237" s="110" t="str">
        <f>IF(NOT(N1258=36),"",IF(COUNTIF(R1239:R1245,"P")=7,"Complete","Incomplete"))</f>
        <v/>
      </c>
      <c r="T1237" s="111"/>
    </row>
    <row r="1238" spans="1:20" x14ac:dyDescent="0.2">
      <c r="A1238" s="83"/>
      <c r="B1238" s="410" t="s">
        <v>120</v>
      </c>
      <c r="C1238" s="420"/>
      <c r="D1238" s="411"/>
      <c r="E1238" s="427"/>
      <c r="F1238" s="428"/>
      <c r="G1238" s="428"/>
      <c r="H1238" s="428"/>
      <c r="I1238" s="428"/>
      <c r="J1238" s="429"/>
      <c r="K1238" s="62" t="s">
        <v>121</v>
      </c>
      <c r="L1238" s="427"/>
      <c r="M1238" s="428"/>
      <c r="N1238" s="428"/>
      <c r="O1238" s="428"/>
      <c r="P1238" s="429"/>
      <c r="Q1238" s="63"/>
    </row>
    <row r="1239" spans="1:20" ht="14.25" x14ac:dyDescent="0.2">
      <c r="A1239" s="83"/>
      <c r="B1239" s="410" t="s">
        <v>196</v>
      </c>
      <c r="C1239" s="420"/>
      <c r="D1239" s="411"/>
      <c r="E1239" s="427"/>
      <c r="F1239" s="428"/>
      <c r="G1239" s="428"/>
      <c r="H1239" s="428"/>
      <c r="I1239" s="429"/>
      <c r="J1239" s="73" t="s">
        <v>197</v>
      </c>
      <c r="K1239" s="405"/>
      <c r="L1239" s="406"/>
      <c r="M1239" s="414" t="s">
        <v>212</v>
      </c>
      <c r="N1239" s="415"/>
      <c r="O1239" s="405"/>
      <c r="P1239" s="406"/>
      <c r="Q1239" s="63"/>
      <c r="R1239" s="124" t="str">
        <f>IF(NOT(N1258=36),"",IF(OR(COUNTBLANK(E1237:E1237)=1,COUNTBLANK(L1237:L1237)=1),"O","P"))</f>
        <v/>
      </c>
      <c r="S1239" s="108" t="str">
        <f>IF(NOT(N1258=36),"","Candidate Name")</f>
        <v/>
      </c>
      <c r="T1239" s="64"/>
    </row>
    <row r="1240" spans="1:20" ht="14.25" x14ac:dyDescent="0.2">
      <c r="A1240" s="83"/>
      <c r="B1240" s="410" t="s">
        <v>198</v>
      </c>
      <c r="C1240" s="420"/>
      <c r="D1240" s="411"/>
      <c r="E1240" s="454"/>
      <c r="F1240" s="455"/>
      <c r="G1240" s="455"/>
      <c r="H1240" s="456"/>
      <c r="I1240" s="74" t="s">
        <v>199</v>
      </c>
      <c r="J1240" s="427"/>
      <c r="K1240" s="428"/>
      <c r="L1240" s="428"/>
      <c r="M1240" s="428"/>
      <c r="N1240" s="428"/>
      <c r="O1240" s="428"/>
      <c r="P1240" s="429"/>
      <c r="Q1240" s="63"/>
      <c r="R1240" s="124" t="str">
        <f>IF(NOT(N1258=36),"",IF(COUNTBLANK(E1236:E1236)=1,"O","P"))</f>
        <v/>
      </c>
      <c r="S1240" s="108" t="str">
        <f>IF(NOT(N1258=36),"","Candidate ID")</f>
        <v/>
      </c>
      <c r="T1240" s="64"/>
    </row>
    <row r="1241" spans="1:20" ht="14.25" x14ac:dyDescent="0.2">
      <c r="A1241" s="83"/>
      <c r="B1241" s="410" t="s">
        <v>227</v>
      </c>
      <c r="C1241" s="420"/>
      <c r="D1241" s="411"/>
      <c r="E1241" s="75" t="s">
        <v>218</v>
      </c>
      <c r="F1241" s="405"/>
      <c r="G1241" s="448"/>
      <c r="H1241" s="75" t="s">
        <v>138</v>
      </c>
      <c r="I1241" s="449"/>
      <c r="J1241" s="450"/>
      <c r="K1241" s="76" t="s">
        <v>139</v>
      </c>
      <c r="L1241" s="451"/>
      <c r="M1241" s="452"/>
      <c r="N1241" s="76" t="s">
        <v>228</v>
      </c>
      <c r="O1241" s="453" t="str">
        <f ca="1">IF(OR(ISBLANK(L1241),ISBLANK(I1241),ISBLANK(F1241),COUNTBLANK(J1236:J1236)=1),"",IF(DATEDIF(DATE(L1241,VLOOKUP(I1241,data!$T$2:$U$13,2,FALSE),F1241),IF(AND(TODAY()&lt;data!$AJ$12,TODAY()&gt;data!$AI$12),data!$AI$3,data!$AJ$3),"Y")&gt;=data!$AC$38,YEAR(TODAY())-L1241,data!$AD$3))</f>
        <v/>
      </c>
      <c r="P1241" s="413"/>
      <c r="Q1241" s="63"/>
      <c r="R1241" s="124" t="str">
        <f>IF(NOT(N1258=36),"",IF(OR(ISBLANK(E1238),ISBLANK(L1238),ISBLANK(K1239),ISBLANK(O1239)),"O","P"))</f>
        <v/>
      </c>
      <c r="S1241" s="108" t="str">
        <f>IF(NOT(N1258=36),"","Address")</f>
        <v/>
      </c>
      <c r="T1241" s="64"/>
    </row>
    <row r="1242" spans="1:20" ht="15" thickBot="1" x14ac:dyDescent="0.25">
      <c r="A1242" s="83"/>
      <c r="B1242" s="410" t="s">
        <v>214</v>
      </c>
      <c r="C1242" s="411"/>
      <c r="D1242" s="412" t="str">
        <f>IF(NOT($N1258=36),"",IF(ISERROR(LOOKUP(36,'Teacher Summary Sheet'!$M$19:$M$181)),"",IF(VLOOKUP(36,'Teacher Summary Sheet'!$M$19:$R$181,5)=0,"",VLOOKUP(36,'Teacher Summary Sheet'!$M$19:$R$181,5))))</f>
        <v/>
      </c>
      <c r="E1242" s="413"/>
      <c r="F1242" s="414" t="s">
        <v>319</v>
      </c>
      <c r="G1242" s="415"/>
      <c r="H1242" s="416"/>
      <c r="I1242" s="417"/>
      <c r="J1242" s="418"/>
      <c r="K1242" s="414" t="s">
        <v>320</v>
      </c>
      <c r="L1242" s="419"/>
      <c r="M1242" s="419"/>
      <c r="N1242" s="415"/>
      <c r="O1242" s="405" t="s">
        <v>268</v>
      </c>
      <c r="P1242" s="406"/>
      <c r="Q1242" s="63"/>
      <c r="R1242" s="124" t="str">
        <f>IF(NOT(N1258=36),"",IF(OR(ISBLANK(F1241),ISBLANK(I1241),ISBLANK(L1241)),"O","P"))</f>
        <v/>
      </c>
      <c r="S1242" s="108" t="str">
        <f>IF(NOT(N1258=36),"","Date of Birth")</f>
        <v/>
      </c>
      <c r="T1242" s="64"/>
    </row>
    <row r="1243" spans="1:20" ht="14.25" x14ac:dyDescent="0.2">
      <c r="A1243" s="83"/>
      <c r="B1243" s="522" t="s">
        <v>297</v>
      </c>
      <c r="C1243" s="463"/>
      <c r="D1243" s="463"/>
      <c r="E1243" s="463"/>
      <c r="F1243" s="463"/>
      <c r="G1243" s="463"/>
      <c r="H1243" s="463"/>
      <c r="I1243" s="463"/>
      <c r="J1243" s="463"/>
      <c r="K1243" s="463"/>
      <c r="L1243" s="463"/>
      <c r="M1243" s="463"/>
      <c r="N1243" s="463"/>
      <c r="O1243" s="463"/>
      <c r="P1243" s="464"/>
      <c r="Q1243" s="63"/>
      <c r="R1243" s="124" t="str">
        <f>IF(NOT(N1258=36),"",IF(COUNTBLANK(J1236:J1236)=1,"O","P"))</f>
        <v/>
      </c>
      <c r="S1243" s="112" t="str">
        <f>IF(NOT(N1258=36),"","Exam Level")</f>
        <v/>
      </c>
      <c r="T1243" s="64"/>
    </row>
    <row r="1244" spans="1:20" ht="14.25" x14ac:dyDescent="0.2">
      <c r="A1244" s="83"/>
      <c r="B1244" s="465"/>
      <c r="C1244" s="466"/>
      <c r="D1244" s="466"/>
      <c r="E1244" s="466"/>
      <c r="F1244" s="466"/>
      <c r="G1244" s="466"/>
      <c r="H1244" s="466"/>
      <c r="I1244" s="466"/>
      <c r="J1244" s="466"/>
      <c r="K1244" s="466"/>
      <c r="L1244" s="466"/>
      <c r="M1244" s="466"/>
      <c r="N1244" s="466"/>
      <c r="O1244" s="466"/>
      <c r="P1244" s="467"/>
      <c r="Q1244" s="63"/>
      <c r="R1244" s="124" t="str">
        <f>IF(NOT(N1258=36),"",IF(COUNTBLANK(D1242:D1242)=1,"O","P"))</f>
        <v/>
      </c>
      <c r="S1244" s="109" t="str">
        <f>IF(NOT(N1258=36),"","Gender")</f>
        <v/>
      </c>
      <c r="T1244" s="64"/>
    </row>
    <row r="1245" spans="1:20" ht="14.25" x14ac:dyDescent="0.2">
      <c r="A1245" s="83"/>
      <c r="B1245" s="432" t="s">
        <v>298</v>
      </c>
      <c r="C1245" s="433"/>
      <c r="D1245" s="434"/>
      <c r="E1245" s="405"/>
      <c r="F1245" s="406"/>
      <c r="G1245" s="432" t="s">
        <v>299</v>
      </c>
      <c r="H1245" s="433"/>
      <c r="I1245" s="434"/>
      <c r="J1245" s="405"/>
      <c r="K1245" s="448"/>
      <c r="L1245" s="406"/>
      <c r="M1245" s="414" t="s">
        <v>300</v>
      </c>
      <c r="N1245" s="415"/>
      <c r="O1245" s="457"/>
      <c r="P1245" s="458"/>
      <c r="Q1245" s="63"/>
      <c r="R1245" s="124" t="str">
        <f>IF(NOT(N1258=36),"",IF(ISBLANK(H1242),"O","P"))</f>
        <v/>
      </c>
      <c r="S1245" s="109" t="str">
        <f>IF(NOT(N1258=36),"","Height")</f>
        <v/>
      </c>
      <c r="T1245" s="64"/>
    </row>
    <row r="1246" spans="1:20" x14ac:dyDescent="0.2">
      <c r="A1246" s="83"/>
      <c r="B1246" s="77" t="s">
        <v>153</v>
      </c>
      <c r="C1246" s="405"/>
      <c r="D1246" s="406"/>
      <c r="E1246" s="414" t="s">
        <v>301</v>
      </c>
      <c r="F1246" s="415"/>
      <c r="G1246" s="459"/>
      <c r="H1246" s="460"/>
      <c r="I1246" s="461"/>
      <c r="J1246" s="414" t="s">
        <v>302</v>
      </c>
      <c r="K1246" s="415"/>
      <c r="L1246" s="454"/>
      <c r="M1246" s="455"/>
      <c r="N1246" s="455"/>
      <c r="O1246" s="455"/>
      <c r="P1246" s="456"/>
      <c r="Q1246" s="63"/>
      <c r="R1246" s="64"/>
      <c r="S1246" s="64"/>
      <c r="T1246" s="64"/>
    </row>
    <row r="1247" spans="1:20" x14ac:dyDescent="0.2">
      <c r="A1247" s="83"/>
      <c r="B1247" s="410" t="s">
        <v>116</v>
      </c>
      <c r="C1247" s="420"/>
      <c r="D1247" s="420"/>
      <c r="E1247" s="420"/>
      <c r="F1247" s="420"/>
      <c r="G1247" s="420"/>
      <c r="H1247" s="420"/>
      <c r="I1247" s="420"/>
      <c r="J1247" s="420"/>
      <c r="K1247" s="420"/>
      <c r="L1247" s="420"/>
      <c r="M1247" s="420"/>
      <c r="N1247" s="420"/>
      <c r="O1247" s="420"/>
      <c r="P1247" s="411"/>
      <c r="Q1247" s="63"/>
      <c r="R1247" s="64"/>
      <c r="S1247" s="64"/>
      <c r="T1247" s="64"/>
    </row>
    <row r="1248" spans="1:20" x14ac:dyDescent="0.2">
      <c r="A1248" s="83"/>
      <c r="B1248" s="410" t="s">
        <v>298</v>
      </c>
      <c r="C1248" s="420"/>
      <c r="D1248" s="411"/>
      <c r="E1248" s="405"/>
      <c r="F1248" s="406"/>
      <c r="G1248" s="410" t="s">
        <v>299</v>
      </c>
      <c r="H1248" s="420"/>
      <c r="I1248" s="411"/>
      <c r="J1248" s="454"/>
      <c r="K1248" s="455"/>
      <c r="L1248" s="456"/>
      <c r="M1248" s="414" t="s">
        <v>300</v>
      </c>
      <c r="N1248" s="415"/>
      <c r="O1248" s="457"/>
      <c r="P1248" s="458"/>
      <c r="Q1248" s="63"/>
      <c r="R1248" s="64"/>
    </row>
    <row r="1249" spans="1:18" ht="13.5" thickBot="1" x14ac:dyDescent="0.25">
      <c r="A1249" s="83"/>
      <c r="B1249" s="78" t="s">
        <v>153</v>
      </c>
      <c r="C1249" s="492"/>
      <c r="D1249" s="493"/>
      <c r="E1249" s="494" t="s">
        <v>301</v>
      </c>
      <c r="F1249" s="495"/>
      <c r="G1249" s="496"/>
      <c r="H1249" s="497"/>
      <c r="I1249" s="498"/>
      <c r="J1249" s="414" t="s">
        <v>302</v>
      </c>
      <c r="K1249" s="415"/>
      <c r="L1249" s="454"/>
      <c r="M1249" s="455"/>
      <c r="N1249" s="455"/>
      <c r="O1249" s="455"/>
      <c r="P1249" s="456"/>
      <c r="Q1249" s="63"/>
      <c r="R1249" s="64"/>
    </row>
    <row r="1250" spans="1:18" x14ac:dyDescent="0.2">
      <c r="A1250" s="83"/>
      <c r="B1250" s="499" t="s">
        <v>126</v>
      </c>
      <c r="C1250" s="500"/>
      <c r="D1250" s="500"/>
      <c r="E1250" s="500"/>
      <c r="F1250" s="500"/>
      <c r="G1250" s="500"/>
      <c r="H1250" s="500"/>
      <c r="I1250" s="501"/>
      <c r="J1250" s="505"/>
      <c r="K1250" s="506"/>
      <c r="L1250" s="506"/>
      <c r="M1250" s="506"/>
      <c r="N1250" s="506"/>
      <c r="O1250" s="506"/>
      <c r="P1250" s="507"/>
      <c r="Q1250" s="63"/>
      <c r="R1250" s="64"/>
    </row>
    <row r="1251" spans="1:18" x14ac:dyDescent="0.2">
      <c r="A1251" s="83"/>
      <c r="B1251" s="502"/>
      <c r="C1251" s="503"/>
      <c r="D1251" s="503"/>
      <c r="E1251" s="503"/>
      <c r="F1251" s="503"/>
      <c r="G1251" s="503"/>
      <c r="H1251" s="503"/>
      <c r="I1251" s="504"/>
      <c r="J1251" s="508"/>
      <c r="K1251" s="509"/>
      <c r="L1251" s="509"/>
      <c r="M1251" s="509"/>
      <c r="N1251" s="509"/>
      <c r="O1251" s="509"/>
      <c r="P1251" s="510"/>
      <c r="Q1251" s="63"/>
      <c r="R1251" s="64"/>
    </row>
    <row r="1252" spans="1:18" x14ac:dyDescent="0.2">
      <c r="A1252" s="83"/>
      <c r="B1252" s="514" t="s">
        <v>127</v>
      </c>
      <c r="C1252" s="515"/>
      <c r="D1252" s="515"/>
      <c r="E1252" s="515"/>
      <c r="F1252" s="515"/>
      <c r="G1252" s="515"/>
      <c r="H1252" s="515"/>
      <c r="I1252" s="516"/>
      <c r="J1252" s="508"/>
      <c r="K1252" s="509"/>
      <c r="L1252" s="509"/>
      <c r="M1252" s="509"/>
      <c r="N1252" s="509"/>
      <c r="O1252" s="509"/>
      <c r="P1252" s="510"/>
      <c r="Q1252" s="63"/>
      <c r="R1252" s="64"/>
    </row>
    <row r="1253" spans="1:18" ht="13.5" thickBot="1" x14ac:dyDescent="0.25">
      <c r="A1253" s="83"/>
      <c r="B1253" s="517"/>
      <c r="C1253" s="518"/>
      <c r="D1253" s="518"/>
      <c r="E1253" s="518"/>
      <c r="F1253" s="518"/>
      <c r="G1253" s="518"/>
      <c r="H1253" s="518"/>
      <c r="I1253" s="519"/>
      <c r="J1253" s="511"/>
      <c r="K1253" s="512"/>
      <c r="L1253" s="512"/>
      <c r="M1253" s="512"/>
      <c r="N1253" s="512"/>
      <c r="O1253" s="512"/>
      <c r="P1253" s="513"/>
      <c r="Q1253" s="63"/>
      <c r="R1253" s="64"/>
    </row>
    <row r="1254" spans="1:18" x14ac:dyDescent="0.2">
      <c r="A1254" s="83"/>
      <c r="B1254" s="480" t="s">
        <v>10</v>
      </c>
      <c r="C1254" s="481"/>
      <c r="D1254" s="481"/>
      <c r="E1254" s="481"/>
      <c r="F1254" s="481"/>
      <c r="G1254" s="481"/>
      <c r="H1254" s="481"/>
      <c r="I1254" s="482"/>
      <c r="J1254" s="79">
        <v>1</v>
      </c>
      <c r="K1254" s="483"/>
      <c r="L1254" s="484"/>
      <c r="M1254" s="484"/>
      <c r="N1254" s="484"/>
      <c r="O1254" s="484"/>
      <c r="P1254" s="485"/>
      <c r="Q1254" s="63"/>
      <c r="R1254" s="64"/>
    </row>
    <row r="1255" spans="1:18" x14ac:dyDescent="0.2">
      <c r="A1255" s="83"/>
      <c r="B1255" s="486" t="s">
        <v>276</v>
      </c>
      <c r="C1255" s="487"/>
      <c r="D1255" s="487"/>
      <c r="E1255" s="487"/>
      <c r="F1255" s="487"/>
      <c r="G1255" s="487"/>
      <c r="H1255" s="487"/>
      <c r="I1255" s="488"/>
      <c r="J1255" s="80">
        <v>2</v>
      </c>
      <c r="K1255" s="454"/>
      <c r="L1255" s="455"/>
      <c r="M1255" s="455"/>
      <c r="N1255" s="455"/>
      <c r="O1255" s="455"/>
      <c r="P1255" s="456"/>
      <c r="Q1255" s="63"/>
      <c r="R1255" s="64"/>
    </row>
    <row r="1256" spans="1:18" x14ac:dyDescent="0.2">
      <c r="A1256" s="83"/>
      <c r="B1256" s="489" t="s">
        <v>234</v>
      </c>
      <c r="C1256" s="490"/>
      <c r="D1256" s="490"/>
      <c r="E1256" s="490"/>
      <c r="F1256" s="490"/>
      <c r="G1256" s="490"/>
      <c r="H1256" s="490"/>
      <c r="I1256" s="491"/>
      <c r="J1256" s="80">
        <v>3</v>
      </c>
      <c r="K1256" s="454"/>
      <c r="L1256" s="455"/>
      <c r="M1256" s="455"/>
      <c r="N1256" s="455"/>
      <c r="O1256" s="455"/>
      <c r="P1256" s="456"/>
      <c r="Q1256" s="63"/>
      <c r="R1256" s="64"/>
    </row>
    <row r="1257" spans="1:18" x14ac:dyDescent="0.2">
      <c r="A1257" s="83"/>
      <c r="B1257" s="468"/>
      <c r="C1257" s="468"/>
      <c r="D1257" s="468"/>
      <c r="E1257" s="468"/>
      <c r="F1257" s="468"/>
      <c r="G1257" s="468"/>
      <c r="H1257" s="468"/>
      <c r="I1257" s="468"/>
      <c r="J1257" s="468"/>
      <c r="K1257" s="468"/>
      <c r="L1257" s="468"/>
      <c r="M1257" s="468"/>
      <c r="N1257" s="468"/>
      <c r="O1257" s="468"/>
      <c r="P1257" s="468"/>
      <c r="Q1257" s="63"/>
      <c r="R1257" s="64"/>
    </row>
    <row r="1258" spans="1:18" ht="12" customHeight="1" x14ac:dyDescent="0.2">
      <c r="A1258" s="83"/>
      <c r="B1258" s="469" t="s">
        <v>84</v>
      </c>
      <c r="C1258" s="471" t="str">
        <f>IF(CODE(B1258)=89,"This candidate would like to receive Special","This candidate would not like to receive Special")</f>
        <v>This candidate would like to receive Special</v>
      </c>
      <c r="D1258" s="472"/>
      <c r="E1258" s="472"/>
      <c r="F1258" s="472"/>
      <c r="G1258" s="472"/>
      <c r="H1258" s="472"/>
      <c r="I1258" s="473"/>
      <c r="J1258" s="81"/>
      <c r="K1258" s="474" t="s">
        <v>235</v>
      </c>
      <c r="L1258" s="474"/>
      <c r="M1258" s="475"/>
      <c r="N1258" s="51" t="str">
        <f>IF($P$33&gt;=36,36,"")</f>
        <v/>
      </c>
      <c r="O1258" s="62" t="s">
        <v>52</v>
      </c>
      <c r="P1258" s="51" t="str">
        <f>IF($P$33&gt;=36,$P$33,"")</f>
        <v/>
      </c>
      <c r="Q1258" s="63"/>
      <c r="R1258" s="64"/>
    </row>
    <row r="1259" spans="1:18" ht="12" customHeight="1" x14ac:dyDescent="0.2">
      <c r="A1259" s="83"/>
      <c r="B1259" s="470"/>
      <c r="C1259" s="476" t="str">
        <f>IF(CODE(B1258)=89,"Announcements and Bulletins from RAD Canada","Announcements and Bulletins from RAD Canada")</f>
        <v>Announcements and Bulletins from RAD Canada</v>
      </c>
      <c r="D1259" s="477"/>
      <c r="E1259" s="477"/>
      <c r="F1259" s="477"/>
      <c r="G1259" s="477"/>
      <c r="H1259" s="477"/>
      <c r="I1259" s="478"/>
      <c r="J1259" s="479"/>
      <c r="K1259" s="400"/>
      <c r="L1259" s="400"/>
      <c r="M1259" s="400"/>
      <c r="N1259" s="400"/>
      <c r="O1259" s="400"/>
      <c r="P1259" s="400"/>
      <c r="Q1259" s="63"/>
      <c r="R1259" s="64"/>
    </row>
    <row r="1260" spans="1:18" x14ac:dyDescent="0.2">
      <c r="A1260" s="83"/>
      <c r="B1260" s="81"/>
      <c r="C1260" s="81"/>
      <c r="D1260" s="81"/>
      <c r="E1260" s="81"/>
      <c r="F1260" s="81"/>
      <c r="G1260" s="81"/>
      <c r="H1260" s="81"/>
      <c r="I1260" s="81"/>
      <c r="J1260" s="81"/>
      <c r="K1260" s="81"/>
      <c r="L1260" s="81"/>
      <c r="M1260" s="81"/>
      <c r="N1260" s="81"/>
      <c r="O1260" s="81"/>
      <c r="P1260" s="81"/>
      <c r="Q1260" s="63"/>
      <c r="R1260" s="64"/>
    </row>
    <row r="1261" spans="1:18" x14ac:dyDescent="0.2">
      <c r="A1261" s="83"/>
      <c r="B1261" s="62"/>
      <c r="C1261" s="62"/>
      <c r="D1261" s="62"/>
      <c r="E1261" s="62"/>
      <c r="F1261" s="62"/>
      <c r="G1261" s="62"/>
      <c r="H1261" s="62"/>
      <c r="I1261" s="62"/>
      <c r="J1261" s="62"/>
      <c r="K1261" s="62"/>
      <c r="L1261" s="62"/>
      <c r="M1261" s="62"/>
      <c r="N1261" s="62"/>
      <c r="O1261" s="62"/>
      <c r="P1261" s="62"/>
      <c r="Q1261" s="63"/>
      <c r="R1261" s="64"/>
    </row>
    <row r="1262" spans="1:18" x14ac:dyDescent="0.2">
      <c r="A1262" s="83"/>
      <c r="B1262" s="401" t="s">
        <v>281</v>
      </c>
      <c r="C1262" s="402"/>
      <c r="D1262" s="402"/>
      <c r="E1262" s="402"/>
      <c r="F1262" s="402"/>
      <c r="G1262" s="402"/>
      <c r="H1262" s="62"/>
      <c r="I1262" s="62"/>
      <c r="J1262" s="62"/>
      <c r="K1262" s="62"/>
      <c r="L1262" s="62"/>
      <c r="M1262" s="62"/>
      <c r="N1262" s="62"/>
      <c r="O1262" s="62"/>
      <c r="P1262" s="62"/>
      <c r="Q1262" s="63"/>
      <c r="R1262" s="64"/>
    </row>
    <row r="1263" spans="1:18" ht="15.75" x14ac:dyDescent="0.25">
      <c r="A1263" s="83"/>
      <c r="B1263" s="402"/>
      <c r="C1263" s="402"/>
      <c r="D1263" s="402"/>
      <c r="E1263" s="402"/>
      <c r="F1263" s="402"/>
      <c r="G1263" s="402"/>
      <c r="H1263" s="82"/>
      <c r="I1263" s="403"/>
      <c r="J1263" s="403"/>
      <c r="K1263" s="403"/>
      <c r="L1263" s="403"/>
      <c r="M1263" s="403"/>
      <c r="N1263" s="403"/>
      <c r="O1263" s="403"/>
      <c r="P1263" s="403"/>
      <c r="Q1263" s="63"/>
      <c r="R1263" s="64"/>
    </row>
    <row r="1264" spans="1:18" x14ac:dyDescent="0.2">
      <c r="A1264" s="83"/>
      <c r="B1264" s="400"/>
      <c r="C1264" s="400"/>
      <c r="D1264" s="400"/>
      <c r="E1264" s="400"/>
      <c r="F1264" s="400"/>
      <c r="G1264" s="400"/>
      <c r="H1264" s="400"/>
      <c r="I1264" s="400"/>
      <c r="J1264" s="400"/>
      <c r="K1264" s="400"/>
      <c r="L1264" s="400"/>
      <c r="M1264" s="403"/>
      <c r="N1264" s="403"/>
      <c r="O1264" s="403"/>
      <c r="P1264" s="403"/>
      <c r="Q1264" s="63"/>
      <c r="R1264" s="64"/>
    </row>
    <row r="1265" spans="1:20" x14ac:dyDescent="0.2">
      <c r="A1265" s="83"/>
      <c r="B1265" s="404" t="s">
        <v>260</v>
      </c>
      <c r="C1265" s="404"/>
      <c r="D1265" s="404"/>
      <c r="E1265" s="404"/>
      <c r="F1265" s="400"/>
      <c r="G1265" s="400"/>
      <c r="H1265" s="400"/>
      <c r="I1265" s="400"/>
      <c r="J1265" s="400"/>
      <c r="K1265" s="400"/>
      <c r="L1265" s="400"/>
      <c r="M1265" s="403"/>
      <c r="N1265" s="403"/>
      <c r="O1265" s="403"/>
      <c r="P1265" s="403"/>
      <c r="Q1265" s="63"/>
      <c r="R1265" s="64"/>
    </row>
    <row r="1266" spans="1:20" x14ac:dyDescent="0.2">
      <c r="A1266" s="83"/>
      <c r="B1266" s="69"/>
      <c r="C1266" s="324" t="s">
        <v>75</v>
      </c>
      <c r="D1266" s="408"/>
      <c r="E1266" s="409"/>
      <c r="F1266" s="400"/>
      <c r="G1266" s="400"/>
      <c r="H1266" s="400"/>
      <c r="I1266" s="400"/>
      <c r="J1266" s="400"/>
      <c r="K1266" s="400"/>
      <c r="L1266" s="400"/>
      <c r="M1266" s="70"/>
      <c r="N1266" s="70"/>
      <c r="O1266" s="70"/>
      <c r="P1266" s="70"/>
      <c r="Q1266" s="63"/>
      <c r="R1266" s="64"/>
    </row>
    <row r="1267" spans="1:20" x14ac:dyDescent="0.2">
      <c r="A1267" s="83"/>
      <c r="B1267" s="71"/>
      <c r="C1267" s="324" t="s">
        <v>128</v>
      </c>
      <c r="D1267" s="408"/>
      <c r="E1267" s="409"/>
      <c r="F1267" s="400"/>
      <c r="G1267" s="400"/>
      <c r="H1267" s="400"/>
      <c r="I1267" s="400"/>
      <c r="J1267" s="400"/>
      <c r="K1267" s="400"/>
      <c r="L1267" s="400"/>
      <c r="M1267" s="407" t="s">
        <v>256</v>
      </c>
      <c r="N1267" s="407"/>
      <c r="O1267" s="407"/>
      <c r="P1267" s="407"/>
      <c r="Q1267" s="63"/>
      <c r="R1267" s="64"/>
    </row>
    <row r="1268" spans="1:20" x14ac:dyDescent="0.2">
      <c r="A1268" s="83"/>
      <c r="B1268" s="56"/>
      <c r="C1268" s="324" t="s">
        <v>282</v>
      </c>
      <c r="D1268" s="408"/>
      <c r="E1268" s="409"/>
      <c r="F1268" s="400"/>
      <c r="G1268" s="400"/>
      <c r="H1268" s="400"/>
      <c r="I1268" s="400"/>
      <c r="J1268" s="400"/>
      <c r="K1268" s="400"/>
      <c r="L1268" s="400"/>
      <c r="M1268" s="407"/>
      <c r="N1268" s="407"/>
      <c r="O1268" s="407"/>
      <c r="P1268" s="407"/>
      <c r="Q1268" s="63"/>
      <c r="R1268" s="64"/>
    </row>
    <row r="1269" spans="1:20" x14ac:dyDescent="0.2">
      <c r="A1269" s="83"/>
      <c r="B1269" s="520"/>
      <c r="C1269" s="520"/>
      <c r="D1269" s="520"/>
      <c r="E1269" s="520"/>
      <c r="F1269" s="520"/>
      <c r="G1269" s="520"/>
      <c r="H1269" s="520"/>
      <c r="I1269" s="520"/>
      <c r="J1269" s="520"/>
      <c r="K1269" s="520"/>
      <c r="L1269" s="520"/>
      <c r="M1269" s="520"/>
      <c r="N1269" s="520"/>
      <c r="O1269" s="520"/>
      <c r="P1269" s="520"/>
      <c r="Q1269" s="63"/>
      <c r="R1269" s="64"/>
    </row>
    <row r="1270" spans="1:20" x14ac:dyDescent="0.2">
      <c r="A1270" s="83"/>
      <c r="B1270" s="432" t="s">
        <v>117</v>
      </c>
      <c r="C1270" s="433"/>
      <c r="D1270" s="434"/>
      <c r="E1270" s="442" t="str">
        <f>IF(AND($P$33&gt;=37,NOT(ISBLANK($E$10))),$E$10,"")</f>
        <v/>
      </c>
      <c r="F1270" s="443"/>
      <c r="G1270" s="444"/>
      <c r="H1270" s="414" t="s">
        <v>124</v>
      </c>
      <c r="I1270" s="415"/>
      <c r="J1270" s="442" t="str">
        <f>IF(AND($P$33&gt;=37,NOT(ISBLANK($J$10))),$J$10,"")</f>
        <v/>
      </c>
      <c r="K1270" s="443"/>
      <c r="L1270" s="444"/>
      <c r="M1270" s="414" t="s">
        <v>118</v>
      </c>
      <c r="N1270" s="415"/>
      <c r="O1270" s="430" t="str">
        <f>IF(AND($P$33&gt;=37,NOT(ISBLANK($O$10))),$O$10,"")</f>
        <v/>
      </c>
      <c r="P1270" s="521"/>
      <c r="Q1270" s="63"/>
      <c r="R1270" s="545" t="s">
        <v>307</v>
      </c>
      <c r="S1270" s="546"/>
      <c r="T1270" s="547"/>
    </row>
    <row r="1271" spans="1:20" x14ac:dyDescent="0.2">
      <c r="A1271" s="83"/>
      <c r="B1271" s="432" t="s">
        <v>240</v>
      </c>
      <c r="C1271" s="433"/>
      <c r="D1271" s="434"/>
      <c r="E1271" s="435" t="str">
        <f>IF(NOT($N1293=37),"",IF(ISERROR(LOOKUP(37,'Teacher Summary Sheet'!$M$19:$M$181)),"",IF(VLOOKUP(37,'Teacher Summary Sheet'!$M$19:$R$181,2)=0,"",VLOOKUP(37,'Teacher Summary Sheet'!$M$19:$R$181,2))))</f>
        <v/>
      </c>
      <c r="F1271" s="436"/>
      <c r="G1271" s="437"/>
      <c r="H1271" s="438" t="s">
        <v>119</v>
      </c>
      <c r="I1271" s="439"/>
      <c r="J1271" s="102" t="str">
        <f>IF(NOT($N1293=37),"",IF(ISERROR(LOOKUP(37,'Teacher Summary Sheet'!$M$19:$M$181)),"",IF(VLOOKUP(37,'Teacher Summary Sheet'!$M$19:$R$181,6)=0,"",VLOOKUP(37,'Teacher Summary Sheet'!$M$19:$R$181,6))))</f>
        <v/>
      </c>
      <c r="K1271" s="414" t="s">
        <v>179</v>
      </c>
      <c r="L1271" s="419"/>
      <c r="M1271" s="415"/>
      <c r="N1271" s="412" t="str">
        <f>IF(NOT($N1293=37),"",IF(ISERROR(LOOKUP(37,'Teacher Summary Sheet'!$M$19:$M$181)),"",IF('Teacher Summary Sheet'!$F$31=0,"",'Teacher Summary Sheet'!$F$31)))</f>
        <v/>
      </c>
      <c r="O1271" s="440"/>
      <c r="P1271" s="413"/>
      <c r="Q1271" s="63"/>
      <c r="R1271" s="548"/>
      <c r="S1271" s="549"/>
      <c r="T1271" s="550"/>
    </row>
    <row r="1272" spans="1:20" ht="14.25" x14ac:dyDescent="0.2">
      <c r="A1272" s="83"/>
      <c r="B1272" s="410" t="s">
        <v>241</v>
      </c>
      <c r="C1272" s="420"/>
      <c r="D1272" s="411"/>
      <c r="E1272" s="421" t="str">
        <f>IF(NOT($N1293=37),"",IF(ISERROR(LOOKUP(37,'Teacher Summary Sheet'!$M$19:$M$181)),"",IF(VLOOKUP(37,'Teacher Summary Sheet'!$M$19:$R$181,3)=0,"",VLOOKUP(37,'Teacher Summary Sheet'!$M$19:$R$181,3))))</f>
        <v/>
      </c>
      <c r="F1272" s="422"/>
      <c r="G1272" s="422"/>
      <c r="H1272" s="422"/>
      <c r="I1272" s="423"/>
      <c r="J1272" s="414" t="s">
        <v>124</v>
      </c>
      <c r="K1272" s="415"/>
      <c r="L1272" s="424" t="str">
        <f>IF(NOT($N1293=37),"",IF(ISERROR(LOOKUP(37,'Teacher Summary Sheet'!$M$19:$M$181)),"",IF(VLOOKUP(37,'Teacher Summary Sheet'!$M$19:$R$181,4)=0,"",VLOOKUP(37,'Teacher Summary Sheet'!$M$19:$R$181,4))))</f>
        <v/>
      </c>
      <c r="M1272" s="425"/>
      <c r="N1272" s="425"/>
      <c r="O1272" s="425"/>
      <c r="P1272" s="426"/>
      <c r="Q1272" s="63"/>
      <c r="R1272" s="125" t="str">
        <f>IF(NOT(N1293=37),"",IF(COUNTIF(R1274:R1280,"P")=7,"P","O"))</f>
        <v/>
      </c>
      <c r="S1272" s="110" t="str">
        <f>IF(NOT(N1293=37),"",IF(COUNTIF(R1274:R1280,"P")=7,"Complete","Incomplete"))</f>
        <v/>
      </c>
      <c r="T1272" s="111"/>
    </row>
    <row r="1273" spans="1:20" x14ac:dyDescent="0.2">
      <c r="A1273" s="83"/>
      <c r="B1273" s="410" t="s">
        <v>120</v>
      </c>
      <c r="C1273" s="420"/>
      <c r="D1273" s="411"/>
      <c r="E1273" s="427"/>
      <c r="F1273" s="428"/>
      <c r="G1273" s="428"/>
      <c r="H1273" s="428"/>
      <c r="I1273" s="428"/>
      <c r="J1273" s="429"/>
      <c r="K1273" s="62" t="s">
        <v>121</v>
      </c>
      <c r="L1273" s="427"/>
      <c r="M1273" s="428"/>
      <c r="N1273" s="428"/>
      <c r="O1273" s="428"/>
      <c r="P1273" s="429"/>
      <c r="Q1273" s="63"/>
    </row>
    <row r="1274" spans="1:20" ht="14.25" x14ac:dyDescent="0.2">
      <c r="A1274" s="83"/>
      <c r="B1274" s="410" t="s">
        <v>196</v>
      </c>
      <c r="C1274" s="420"/>
      <c r="D1274" s="411"/>
      <c r="E1274" s="427"/>
      <c r="F1274" s="428"/>
      <c r="G1274" s="428"/>
      <c r="H1274" s="428"/>
      <c r="I1274" s="429"/>
      <c r="J1274" s="73" t="s">
        <v>197</v>
      </c>
      <c r="K1274" s="405"/>
      <c r="L1274" s="406"/>
      <c r="M1274" s="414" t="s">
        <v>212</v>
      </c>
      <c r="N1274" s="415"/>
      <c r="O1274" s="405"/>
      <c r="P1274" s="406"/>
      <c r="Q1274" s="63"/>
      <c r="R1274" s="124" t="str">
        <f>IF(NOT(N1293=37),"",IF(OR(COUNTBLANK(E1272:E1272)=1,COUNTBLANK(L1272:L1272)=1),"O","P"))</f>
        <v/>
      </c>
      <c r="S1274" s="108" t="str">
        <f>IF(NOT(N1293=37),"","Candidate Name")</f>
        <v/>
      </c>
      <c r="T1274" s="64"/>
    </row>
    <row r="1275" spans="1:20" ht="14.25" x14ac:dyDescent="0.2">
      <c r="A1275" s="83"/>
      <c r="B1275" s="410" t="s">
        <v>198</v>
      </c>
      <c r="C1275" s="420"/>
      <c r="D1275" s="411"/>
      <c r="E1275" s="454"/>
      <c r="F1275" s="455"/>
      <c r="G1275" s="455"/>
      <c r="H1275" s="456"/>
      <c r="I1275" s="74" t="s">
        <v>199</v>
      </c>
      <c r="J1275" s="427"/>
      <c r="K1275" s="428"/>
      <c r="L1275" s="428"/>
      <c r="M1275" s="428"/>
      <c r="N1275" s="428"/>
      <c r="O1275" s="428"/>
      <c r="P1275" s="429"/>
      <c r="Q1275" s="63"/>
      <c r="R1275" s="124" t="str">
        <f>IF(NOT(N1293=37),"",IF(COUNTBLANK(E1271:E1271)=1,"O","P"))</f>
        <v/>
      </c>
      <c r="S1275" s="108" t="str">
        <f>IF(NOT(N1293=37),"","Candidate ID")</f>
        <v/>
      </c>
      <c r="T1275" s="64"/>
    </row>
    <row r="1276" spans="1:20" ht="14.25" x14ac:dyDescent="0.2">
      <c r="A1276" s="83"/>
      <c r="B1276" s="410" t="s">
        <v>227</v>
      </c>
      <c r="C1276" s="420"/>
      <c r="D1276" s="411"/>
      <c r="E1276" s="75" t="s">
        <v>218</v>
      </c>
      <c r="F1276" s="405"/>
      <c r="G1276" s="448"/>
      <c r="H1276" s="75" t="s">
        <v>138</v>
      </c>
      <c r="I1276" s="449"/>
      <c r="J1276" s="450"/>
      <c r="K1276" s="76" t="s">
        <v>139</v>
      </c>
      <c r="L1276" s="451"/>
      <c r="M1276" s="452"/>
      <c r="N1276" s="76" t="s">
        <v>228</v>
      </c>
      <c r="O1276" s="453" t="str">
        <f ca="1">IF(OR(ISBLANK(L1276),ISBLANK(I1276),ISBLANK(F1276),COUNTBLANK(J1271:J1271)=1),"",IF(DATEDIF(DATE(L1276,VLOOKUP(I1276,data!$T$2:$U$13,2,FALSE),F1276),IF(AND(TODAY()&lt;data!$AJ$12,TODAY()&gt;data!$AI$12),data!$AI$3,data!$AJ$3),"Y")&gt;=data!$AC$39,YEAR(TODAY())-L1276,data!$AD$3))</f>
        <v/>
      </c>
      <c r="P1276" s="413"/>
      <c r="Q1276" s="63"/>
      <c r="R1276" s="124" t="str">
        <f>IF(NOT(N1293=37),"",IF(OR(ISBLANK(E1273),ISBLANK(L1273),ISBLANK(K1274),ISBLANK(O1274)),"O","P"))</f>
        <v/>
      </c>
      <c r="S1276" s="108" t="str">
        <f>IF(NOT(N1293=37),"","Address")</f>
        <v/>
      </c>
      <c r="T1276" s="64"/>
    </row>
    <row r="1277" spans="1:20" ht="15" thickBot="1" x14ac:dyDescent="0.25">
      <c r="A1277" s="83"/>
      <c r="B1277" s="410" t="s">
        <v>214</v>
      </c>
      <c r="C1277" s="411"/>
      <c r="D1277" s="412" t="str">
        <f>IF(NOT($N1293=37),"",IF(ISERROR(LOOKUP(37,'Teacher Summary Sheet'!$M$19:$M$181)),"",IF(VLOOKUP(37,'Teacher Summary Sheet'!$M$19:$R$181,5)=0,"",VLOOKUP(37,'Teacher Summary Sheet'!$M$19:$R$181,5))))</f>
        <v/>
      </c>
      <c r="E1277" s="413"/>
      <c r="F1277" s="414" t="s">
        <v>319</v>
      </c>
      <c r="G1277" s="415"/>
      <c r="H1277" s="416"/>
      <c r="I1277" s="417"/>
      <c r="J1277" s="418"/>
      <c r="K1277" s="414" t="s">
        <v>320</v>
      </c>
      <c r="L1277" s="419"/>
      <c r="M1277" s="419"/>
      <c r="N1277" s="415"/>
      <c r="O1277" s="405" t="s">
        <v>268</v>
      </c>
      <c r="P1277" s="406"/>
      <c r="Q1277" s="63"/>
      <c r="R1277" s="124" t="str">
        <f>IF(NOT(N1293=37),"",IF(OR(ISBLANK(F1276),ISBLANK(I1276),ISBLANK(L1276)),"O","P"))</f>
        <v/>
      </c>
      <c r="S1277" s="108" t="str">
        <f>IF(NOT(N1293=37),"","Date of Birth")</f>
        <v/>
      </c>
      <c r="T1277" s="64"/>
    </row>
    <row r="1278" spans="1:20" ht="14.25" x14ac:dyDescent="0.2">
      <c r="A1278" s="83"/>
      <c r="B1278" s="522" t="s">
        <v>297</v>
      </c>
      <c r="C1278" s="463"/>
      <c r="D1278" s="463"/>
      <c r="E1278" s="463"/>
      <c r="F1278" s="463"/>
      <c r="G1278" s="463"/>
      <c r="H1278" s="463"/>
      <c r="I1278" s="463"/>
      <c r="J1278" s="463"/>
      <c r="K1278" s="463"/>
      <c r="L1278" s="463"/>
      <c r="M1278" s="463"/>
      <c r="N1278" s="463"/>
      <c r="O1278" s="463"/>
      <c r="P1278" s="464"/>
      <c r="Q1278" s="63"/>
      <c r="R1278" s="124" t="str">
        <f>IF(NOT(N1293=37),"",IF(COUNTBLANK(J1271:J1271)=1,"O","P"))</f>
        <v/>
      </c>
      <c r="S1278" s="112" t="str">
        <f>IF(NOT(N1293=37),"","Exam Level")</f>
        <v/>
      </c>
      <c r="T1278" s="64"/>
    </row>
    <row r="1279" spans="1:20" ht="14.25" x14ac:dyDescent="0.2">
      <c r="A1279" s="83"/>
      <c r="B1279" s="465"/>
      <c r="C1279" s="466"/>
      <c r="D1279" s="466"/>
      <c r="E1279" s="466"/>
      <c r="F1279" s="466"/>
      <c r="G1279" s="466"/>
      <c r="H1279" s="466"/>
      <c r="I1279" s="466"/>
      <c r="J1279" s="466"/>
      <c r="K1279" s="466"/>
      <c r="L1279" s="466"/>
      <c r="M1279" s="466"/>
      <c r="N1279" s="466"/>
      <c r="O1279" s="466"/>
      <c r="P1279" s="467"/>
      <c r="Q1279" s="63"/>
      <c r="R1279" s="124" t="str">
        <f>IF(NOT(N1293=37),"",IF(COUNTBLANK(D1277:D1277)=1,"O","P"))</f>
        <v/>
      </c>
      <c r="S1279" s="109" t="str">
        <f>IF(NOT(N1293=37),"","Gender")</f>
        <v/>
      </c>
      <c r="T1279" s="64"/>
    </row>
    <row r="1280" spans="1:20" ht="14.25" x14ac:dyDescent="0.2">
      <c r="A1280" s="83"/>
      <c r="B1280" s="432" t="s">
        <v>298</v>
      </c>
      <c r="C1280" s="433"/>
      <c r="D1280" s="434"/>
      <c r="E1280" s="405"/>
      <c r="F1280" s="406"/>
      <c r="G1280" s="432" t="s">
        <v>299</v>
      </c>
      <c r="H1280" s="433"/>
      <c r="I1280" s="434"/>
      <c r="J1280" s="405"/>
      <c r="K1280" s="448"/>
      <c r="L1280" s="406"/>
      <c r="M1280" s="414" t="s">
        <v>300</v>
      </c>
      <c r="N1280" s="415"/>
      <c r="O1280" s="457"/>
      <c r="P1280" s="458"/>
      <c r="Q1280" s="63"/>
      <c r="R1280" s="124" t="str">
        <f>IF(NOT(N1293=37),"",IF(ISBLANK(H1277),"O","P"))</f>
        <v/>
      </c>
      <c r="S1280" s="109" t="str">
        <f>IF(NOT(N1293=37),"","Height")</f>
        <v/>
      </c>
      <c r="T1280" s="64"/>
    </row>
    <row r="1281" spans="1:20" x14ac:dyDescent="0.2">
      <c r="A1281" s="83"/>
      <c r="B1281" s="77" t="s">
        <v>153</v>
      </c>
      <c r="C1281" s="405"/>
      <c r="D1281" s="406"/>
      <c r="E1281" s="414" t="s">
        <v>301</v>
      </c>
      <c r="F1281" s="415"/>
      <c r="G1281" s="459"/>
      <c r="H1281" s="460"/>
      <c r="I1281" s="461"/>
      <c r="J1281" s="414" t="s">
        <v>302</v>
      </c>
      <c r="K1281" s="415"/>
      <c r="L1281" s="454"/>
      <c r="M1281" s="455"/>
      <c r="N1281" s="455"/>
      <c r="O1281" s="455"/>
      <c r="P1281" s="456"/>
      <c r="Q1281" s="63"/>
      <c r="R1281" s="64"/>
      <c r="S1281" s="64"/>
      <c r="T1281" s="64"/>
    </row>
    <row r="1282" spans="1:20" x14ac:dyDescent="0.2">
      <c r="A1282" s="83"/>
      <c r="B1282" s="410" t="s">
        <v>116</v>
      </c>
      <c r="C1282" s="420"/>
      <c r="D1282" s="420"/>
      <c r="E1282" s="420"/>
      <c r="F1282" s="420"/>
      <c r="G1282" s="420"/>
      <c r="H1282" s="420"/>
      <c r="I1282" s="420"/>
      <c r="J1282" s="420"/>
      <c r="K1282" s="420"/>
      <c r="L1282" s="420"/>
      <c r="M1282" s="420"/>
      <c r="N1282" s="420"/>
      <c r="O1282" s="420"/>
      <c r="P1282" s="411"/>
      <c r="Q1282" s="63"/>
      <c r="R1282" s="64"/>
      <c r="S1282" s="64"/>
      <c r="T1282" s="64"/>
    </row>
    <row r="1283" spans="1:20" x14ac:dyDescent="0.2">
      <c r="A1283" s="83"/>
      <c r="B1283" s="410" t="s">
        <v>298</v>
      </c>
      <c r="C1283" s="420"/>
      <c r="D1283" s="411"/>
      <c r="E1283" s="405"/>
      <c r="F1283" s="406"/>
      <c r="G1283" s="410" t="s">
        <v>299</v>
      </c>
      <c r="H1283" s="420"/>
      <c r="I1283" s="411"/>
      <c r="J1283" s="454"/>
      <c r="K1283" s="455"/>
      <c r="L1283" s="456"/>
      <c r="M1283" s="414" t="s">
        <v>300</v>
      </c>
      <c r="N1283" s="415"/>
      <c r="O1283" s="457"/>
      <c r="P1283" s="458"/>
      <c r="Q1283" s="63"/>
      <c r="R1283" s="64"/>
    </row>
    <row r="1284" spans="1:20" ht="13.5" thickBot="1" x14ac:dyDescent="0.25">
      <c r="A1284" s="83"/>
      <c r="B1284" s="78" t="s">
        <v>153</v>
      </c>
      <c r="C1284" s="492"/>
      <c r="D1284" s="493"/>
      <c r="E1284" s="494" t="s">
        <v>301</v>
      </c>
      <c r="F1284" s="495"/>
      <c r="G1284" s="496"/>
      <c r="H1284" s="497"/>
      <c r="I1284" s="498"/>
      <c r="J1284" s="414" t="s">
        <v>302</v>
      </c>
      <c r="K1284" s="415"/>
      <c r="L1284" s="454"/>
      <c r="M1284" s="455"/>
      <c r="N1284" s="455"/>
      <c r="O1284" s="455"/>
      <c r="P1284" s="456"/>
      <c r="Q1284" s="63"/>
      <c r="R1284" s="64"/>
    </row>
    <row r="1285" spans="1:20" x14ac:dyDescent="0.2">
      <c r="A1285" s="83"/>
      <c r="B1285" s="499" t="s">
        <v>126</v>
      </c>
      <c r="C1285" s="500"/>
      <c r="D1285" s="500"/>
      <c r="E1285" s="500"/>
      <c r="F1285" s="500"/>
      <c r="G1285" s="500"/>
      <c r="H1285" s="500"/>
      <c r="I1285" s="501"/>
      <c r="J1285" s="505"/>
      <c r="K1285" s="506"/>
      <c r="L1285" s="506"/>
      <c r="M1285" s="506"/>
      <c r="N1285" s="506"/>
      <c r="O1285" s="506"/>
      <c r="P1285" s="507"/>
      <c r="Q1285" s="63"/>
      <c r="R1285" s="64"/>
    </row>
    <row r="1286" spans="1:20" x14ac:dyDescent="0.2">
      <c r="A1286" s="83"/>
      <c r="B1286" s="502"/>
      <c r="C1286" s="503"/>
      <c r="D1286" s="503"/>
      <c r="E1286" s="503"/>
      <c r="F1286" s="503"/>
      <c r="G1286" s="503"/>
      <c r="H1286" s="503"/>
      <c r="I1286" s="504"/>
      <c r="J1286" s="508"/>
      <c r="K1286" s="509"/>
      <c r="L1286" s="509"/>
      <c r="M1286" s="509"/>
      <c r="N1286" s="509"/>
      <c r="O1286" s="509"/>
      <c r="P1286" s="510"/>
      <c r="Q1286" s="63"/>
      <c r="R1286" s="64"/>
    </row>
    <row r="1287" spans="1:20" x14ac:dyDescent="0.2">
      <c r="A1287" s="83"/>
      <c r="B1287" s="514" t="s">
        <v>127</v>
      </c>
      <c r="C1287" s="515"/>
      <c r="D1287" s="515"/>
      <c r="E1287" s="515"/>
      <c r="F1287" s="515"/>
      <c r="G1287" s="515"/>
      <c r="H1287" s="515"/>
      <c r="I1287" s="516"/>
      <c r="J1287" s="508"/>
      <c r="K1287" s="509"/>
      <c r="L1287" s="509"/>
      <c r="M1287" s="509"/>
      <c r="N1287" s="509"/>
      <c r="O1287" s="509"/>
      <c r="P1287" s="510"/>
      <c r="Q1287" s="63"/>
      <c r="R1287" s="64"/>
    </row>
    <row r="1288" spans="1:20" ht="13.5" thickBot="1" x14ac:dyDescent="0.25">
      <c r="A1288" s="83"/>
      <c r="B1288" s="517"/>
      <c r="C1288" s="518"/>
      <c r="D1288" s="518"/>
      <c r="E1288" s="518"/>
      <c r="F1288" s="518"/>
      <c r="G1288" s="518"/>
      <c r="H1288" s="518"/>
      <c r="I1288" s="519"/>
      <c r="J1288" s="511"/>
      <c r="K1288" s="512"/>
      <c r="L1288" s="512"/>
      <c r="M1288" s="512"/>
      <c r="N1288" s="512"/>
      <c r="O1288" s="512"/>
      <c r="P1288" s="513"/>
      <c r="Q1288" s="63"/>
      <c r="R1288" s="64"/>
    </row>
    <row r="1289" spans="1:20" x14ac:dyDescent="0.2">
      <c r="A1289" s="83"/>
      <c r="B1289" s="480" t="s">
        <v>10</v>
      </c>
      <c r="C1289" s="481"/>
      <c r="D1289" s="481"/>
      <c r="E1289" s="481"/>
      <c r="F1289" s="481"/>
      <c r="G1289" s="481"/>
      <c r="H1289" s="481"/>
      <c r="I1289" s="482"/>
      <c r="J1289" s="79">
        <v>1</v>
      </c>
      <c r="K1289" s="483"/>
      <c r="L1289" s="484"/>
      <c r="M1289" s="484"/>
      <c r="N1289" s="484"/>
      <c r="O1289" s="484"/>
      <c r="P1289" s="485"/>
      <c r="Q1289" s="63"/>
      <c r="R1289" s="64"/>
    </row>
    <row r="1290" spans="1:20" x14ac:dyDescent="0.2">
      <c r="A1290" s="83"/>
      <c r="B1290" s="486" t="s">
        <v>276</v>
      </c>
      <c r="C1290" s="487"/>
      <c r="D1290" s="487"/>
      <c r="E1290" s="487"/>
      <c r="F1290" s="487"/>
      <c r="G1290" s="487"/>
      <c r="H1290" s="487"/>
      <c r="I1290" s="488"/>
      <c r="J1290" s="80">
        <v>2</v>
      </c>
      <c r="K1290" s="454"/>
      <c r="L1290" s="455"/>
      <c r="M1290" s="455"/>
      <c r="N1290" s="455"/>
      <c r="O1290" s="455"/>
      <c r="P1290" s="456"/>
      <c r="Q1290" s="63"/>
      <c r="R1290" s="64"/>
    </row>
    <row r="1291" spans="1:20" x14ac:dyDescent="0.2">
      <c r="A1291" s="83"/>
      <c r="B1291" s="489" t="s">
        <v>234</v>
      </c>
      <c r="C1291" s="490"/>
      <c r="D1291" s="490"/>
      <c r="E1291" s="490"/>
      <c r="F1291" s="490"/>
      <c r="G1291" s="490"/>
      <c r="H1291" s="490"/>
      <c r="I1291" s="491"/>
      <c r="J1291" s="80">
        <v>3</v>
      </c>
      <c r="K1291" s="454"/>
      <c r="L1291" s="455"/>
      <c r="M1291" s="455"/>
      <c r="N1291" s="455"/>
      <c r="O1291" s="455"/>
      <c r="P1291" s="456"/>
      <c r="Q1291" s="63"/>
      <c r="R1291" s="64"/>
    </row>
    <row r="1292" spans="1:20" x14ac:dyDescent="0.2">
      <c r="A1292" s="83"/>
      <c r="B1292" s="468"/>
      <c r="C1292" s="468"/>
      <c r="D1292" s="468"/>
      <c r="E1292" s="468"/>
      <c r="F1292" s="468"/>
      <c r="G1292" s="468"/>
      <c r="H1292" s="468"/>
      <c r="I1292" s="468"/>
      <c r="J1292" s="468"/>
      <c r="K1292" s="468"/>
      <c r="L1292" s="468"/>
      <c r="M1292" s="468"/>
      <c r="N1292" s="468"/>
      <c r="O1292" s="468"/>
      <c r="P1292" s="468"/>
      <c r="Q1292" s="63"/>
      <c r="R1292" s="64"/>
    </row>
    <row r="1293" spans="1:20" ht="12" customHeight="1" x14ac:dyDescent="0.2">
      <c r="A1293" s="83"/>
      <c r="B1293" s="469" t="s">
        <v>84</v>
      </c>
      <c r="C1293" s="471" t="str">
        <f>IF(CODE(B1293)=89,"This candidate would like to receive Special","This candidate would not like to receive Special")</f>
        <v>This candidate would like to receive Special</v>
      </c>
      <c r="D1293" s="472"/>
      <c r="E1293" s="472"/>
      <c r="F1293" s="472"/>
      <c r="G1293" s="472"/>
      <c r="H1293" s="472"/>
      <c r="I1293" s="473"/>
      <c r="J1293" s="81"/>
      <c r="K1293" s="474" t="s">
        <v>205</v>
      </c>
      <c r="L1293" s="474"/>
      <c r="M1293" s="475"/>
      <c r="N1293" s="51" t="str">
        <f>IF($P$33&gt;=37,37,"")</f>
        <v/>
      </c>
      <c r="O1293" s="62" t="s">
        <v>52</v>
      </c>
      <c r="P1293" s="51" t="str">
        <f>IF($P$33&gt;=37,$P$33,"")</f>
        <v/>
      </c>
      <c r="Q1293" s="63"/>
      <c r="R1293" s="64"/>
    </row>
    <row r="1294" spans="1:20" ht="12" customHeight="1" x14ac:dyDescent="0.2">
      <c r="A1294" s="83"/>
      <c r="B1294" s="470"/>
      <c r="C1294" s="476" t="str">
        <f>IF(CODE(B1293)=89,"Announcements and Bulletins from RAD Canada","Announcements and Bulletins from RAD Canada")</f>
        <v>Announcements and Bulletins from RAD Canada</v>
      </c>
      <c r="D1294" s="477"/>
      <c r="E1294" s="477"/>
      <c r="F1294" s="477"/>
      <c r="G1294" s="477"/>
      <c r="H1294" s="477"/>
      <c r="I1294" s="478"/>
      <c r="J1294" s="479"/>
      <c r="K1294" s="400"/>
      <c r="L1294" s="400"/>
      <c r="M1294" s="400"/>
      <c r="N1294" s="400"/>
      <c r="O1294" s="400"/>
      <c r="P1294" s="400"/>
      <c r="Q1294" s="63"/>
      <c r="R1294" s="64"/>
    </row>
    <row r="1295" spans="1:20" x14ac:dyDescent="0.2">
      <c r="A1295" s="83"/>
      <c r="B1295" s="81"/>
      <c r="C1295" s="81"/>
      <c r="D1295" s="81"/>
      <c r="E1295" s="81"/>
      <c r="F1295" s="81"/>
      <c r="G1295" s="81"/>
      <c r="H1295" s="81"/>
      <c r="I1295" s="81"/>
      <c r="J1295" s="81"/>
      <c r="K1295" s="81"/>
      <c r="L1295" s="81"/>
      <c r="M1295" s="81"/>
      <c r="N1295" s="81"/>
      <c r="O1295" s="81"/>
      <c r="P1295" s="81"/>
      <c r="Q1295" s="63"/>
      <c r="R1295" s="64"/>
    </row>
    <row r="1296" spans="1:20" x14ac:dyDescent="0.2">
      <c r="A1296" s="83"/>
      <c r="B1296" s="62"/>
      <c r="C1296" s="62"/>
      <c r="D1296" s="62"/>
      <c r="E1296" s="62"/>
      <c r="F1296" s="62"/>
      <c r="G1296" s="62"/>
      <c r="H1296" s="62"/>
      <c r="I1296" s="62"/>
      <c r="J1296" s="62"/>
      <c r="K1296" s="62"/>
      <c r="L1296" s="62"/>
      <c r="M1296" s="62"/>
      <c r="N1296" s="62"/>
      <c r="O1296" s="62"/>
      <c r="P1296" s="62"/>
      <c r="Q1296" s="63"/>
      <c r="R1296" s="64"/>
    </row>
    <row r="1297" spans="1:20" x14ac:dyDescent="0.2">
      <c r="A1297" s="83"/>
      <c r="B1297" s="401" t="s">
        <v>233</v>
      </c>
      <c r="C1297" s="402"/>
      <c r="D1297" s="402"/>
      <c r="E1297" s="402"/>
      <c r="F1297" s="402"/>
      <c r="G1297" s="402"/>
      <c r="H1297" s="62"/>
      <c r="I1297" s="62"/>
      <c r="J1297" s="62"/>
      <c r="K1297" s="62"/>
      <c r="L1297" s="62"/>
      <c r="M1297" s="62"/>
      <c r="N1297" s="62"/>
      <c r="O1297" s="62"/>
      <c r="P1297" s="62"/>
      <c r="Q1297" s="63"/>
      <c r="R1297" s="64"/>
    </row>
    <row r="1298" spans="1:20" ht="15.75" x14ac:dyDescent="0.25">
      <c r="A1298" s="83"/>
      <c r="B1298" s="402"/>
      <c r="C1298" s="402"/>
      <c r="D1298" s="402"/>
      <c r="E1298" s="402"/>
      <c r="F1298" s="402"/>
      <c r="G1298" s="402"/>
      <c r="H1298" s="82"/>
      <c r="I1298" s="403"/>
      <c r="J1298" s="403"/>
      <c r="K1298" s="403"/>
      <c r="L1298" s="403"/>
      <c r="M1298" s="403"/>
      <c r="N1298" s="403"/>
      <c r="O1298" s="403"/>
      <c r="P1298" s="403"/>
      <c r="Q1298" s="63"/>
      <c r="R1298" s="64"/>
    </row>
    <row r="1299" spans="1:20" x14ac:dyDescent="0.2">
      <c r="A1299" s="83"/>
      <c r="B1299" s="400"/>
      <c r="C1299" s="400"/>
      <c r="D1299" s="400"/>
      <c r="E1299" s="400"/>
      <c r="F1299" s="400"/>
      <c r="G1299" s="400"/>
      <c r="H1299" s="400"/>
      <c r="I1299" s="400"/>
      <c r="J1299" s="400"/>
      <c r="K1299" s="400"/>
      <c r="L1299" s="400"/>
      <c r="M1299" s="403"/>
      <c r="N1299" s="403"/>
      <c r="O1299" s="403"/>
      <c r="P1299" s="403"/>
      <c r="Q1299" s="63"/>
      <c r="R1299" s="64"/>
    </row>
    <row r="1300" spans="1:20" x14ac:dyDescent="0.2">
      <c r="A1300" s="83"/>
      <c r="B1300" s="404" t="s">
        <v>260</v>
      </c>
      <c r="C1300" s="404"/>
      <c r="D1300" s="404"/>
      <c r="E1300" s="404"/>
      <c r="F1300" s="400"/>
      <c r="G1300" s="400"/>
      <c r="H1300" s="400"/>
      <c r="I1300" s="400"/>
      <c r="J1300" s="400"/>
      <c r="K1300" s="400"/>
      <c r="L1300" s="400"/>
      <c r="M1300" s="403"/>
      <c r="N1300" s="403"/>
      <c r="O1300" s="403"/>
      <c r="P1300" s="403"/>
      <c r="Q1300" s="63"/>
      <c r="R1300" s="64"/>
    </row>
    <row r="1301" spans="1:20" x14ac:dyDescent="0.2">
      <c r="A1301" s="83"/>
      <c r="B1301" s="69"/>
      <c r="C1301" s="324" t="s">
        <v>75</v>
      </c>
      <c r="D1301" s="408"/>
      <c r="E1301" s="409"/>
      <c r="F1301" s="400"/>
      <c r="G1301" s="400"/>
      <c r="H1301" s="400"/>
      <c r="I1301" s="400"/>
      <c r="J1301" s="400"/>
      <c r="K1301" s="400"/>
      <c r="L1301" s="400"/>
      <c r="M1301" s="70"/>
      <c r="N1301" s="70"/>
      <c r="O1301" s="70"/>
      <c r="P1301" s="70"/>
      <c r="Q1301" s="63"/>
      <c r="R1301" s="64"/>
    </row>
    <row r="1302" spans="1:20" x14ac:dyDescent="0.2">
      <c r="A1302" s="83"/>
      <c r="B1302" s="71"/>
      <c r="C1302" s="324" t="s">
        <v>128</v>
      </c>
      <c r="D1302" s="408"/>
      <c r="E1302" s="409"/>
      <c r="F1302" s="400"/>
      <c r="G1302" s="400"/>
      <c r="H1302" s="400"/>
      <c r="I1302" s="400"/>
      <c r="J1302" s="400"/>
      <c r="K1302" s="400"/>
      <c r="L1302" s="400"/>
      <c r="M1302" s="407" t="s">
        <v>256</v>
      </c>
      <c r="N1302" s="407"/>
      <c r="O1302" s="407"/>
      <c r="P1302" s="407"/>
      <c r="Q1302" s="63"/>
      <c r="R1302" s="64"/>
    </row>
    <row r="1303" spans="1:20" x14ac:dyDescent="0.2">
      <c r="A1303" s="83"/>
      <c r="B1303" s="56"/>
      <c r="C1303" s="324" t="s">
        <v>275</v>
      </c>
      <c r="D1303" s="408"/>
      <c r="E1303" s="409"/>
      <c r="F1303" s="400"/>
      <c r="G1303" s="400"/>
      <c r="H1303" s="400"/>
      <c r="I1303" s="400"/>
      <c r="J1303" s="400"/>
      <c r="K1303" s="400"/>
      <c r="L1303" s="400"/>
      <c r="M1303" s="407"/>
      <c r="N1303" s="407"/>
      <c r="O1303" s="407"/>
      <c r="P1303" s="407"/>
      <c r="Q1303" s="63"/>
      <c r="R1303" s="64"/>
    </row>
    <row r="1304" spans="1:20" x14ac:dyDescent="0.2">
      <c r="A1304" s="83"/>
      <c r="B1304" s="520"/>
      <c r="C1304" s="520"/>
      <c r="D1304" s="520"/>
      <c r="E1304" s="520"/>
      <c r="F1304" s="520"/>
      <c r="G1304" s="520"/>
      <c r="H1304" s="520"/>
      <c r="I1304" s="520"/>
      <c r="J1304" s="520"/>
      <c r="K1304" s="520"/>
      <c r="L1304" s="520"/>
      <c r="M1304" s="520"/>
      <c r="N1304" s="520"/>
      <c r="O1304" s="520"/>
      <c r="P1304" s="520"/>
      <c r="Q1304" s="63"/>
      <c r="R1304" s="64"/>
    </row>
    <row r="1305" spans="1:20" x14ac:dyDescent="0.2">
      <c r="A1305" s="83"/>
      <c r="B1305" s="432" t="s">
        <v>117</v>
      </c>
      <c r="C1305" s="433"/>
      <c r="D1305" s="434"/>
      <c r="E1305" s="442" t="str">
        <f>IF(AND($P$33&gt;=38,NOT(ISBLANK($E$10))),$E$10,"")</f>
        <v/>
      </c>
      <c r="F1305" s="443"/>
      <c r="G1305" s="444"/>
      <c r="H1305" s="414" t="s">
        <v>124</v>
      </c>
      <c r="I1305" s="415"/>
      <c r="J1305" s="442" t="str">
        <f>IF(AND($P$33&gt;=38,NOT(ISBLANK($J$10))),$J$10,"")</f>
        <v/>
      </c>
      <c r="K1305" s="443"/>
      <c r="L1305" s="444"/>
      <c r="M1305" s="414" t="s">
        <v>118</v>
      </c>
      <c r="N1305" s="415"/>
      <c r="O1305" s="430" t="str">
        <f>IF(AND($P$33&gt;=38,NOT(ISBLANK($O$10))),$O$10,"")</f>
        <v/>
      </c>
      <c r="P1305" s="521"/>
      <c r="Q1305" s="63"/>
      <c r="R1305" s="545" t="s">
        <v>307</v>
      </c>
      <c r="S1305" s="546"/>
      <c r="T1305" s="547"/>
    </row>
    <row r="1306" spans="1:20" x14ac:dyDescent="0.2">
      <c r="A1306" s="83"/>
      <c r="B1306" s="432" t="s">
        <v>240</v>
      </c>
      <c r="C1306" s="433"/>
      <c r="D1306" s="434"/>
      <c r="E1306" s="435" t="str">
        <f>IF(NOT($N1328=38),"",IF(ISERROR(LOOKUP(38,'Teacher Summary Sheet'!$M$19:$M$181)),"",IF(VLOOKUP(38,'Teacher Summary Sheet'!$M$19:$R$181,2)=0,"",VLOOKUP(38,'Teacher Summary Sheet'!$M$19:$R$181,2))))</f>
        <v/>
      </c>
      <c r="F1306" s="436"/>
      <c r="G1306" s="437"/>
      <c r="H1306" s="438" t="s">
        <v>119</v>
      </c>
      <c r="I1306" s="439"/>
      <c r="J1306" s="102" t="str">
        <f>IF(NOT($N1328=38),"",IF(ISERROR(LOOKUP(38,'Teacher Summary Sheet'!$M$19:$M$181)),"",IF(VLOOKUP(38,'Teacher Summary Sheet'!$M$19:$R$181,6)=0,"",VLOOKUP(38,'Teacher Summary Sheet'!$M$19:$R$181,6))))</f>
        <v/>
      </c>
      <c r="K1306" s="414" t="s">
        <v>179</v>
      </c>
      <c r="L1306" s="419"/>
      <c r="M1306" s="415"/>
      <c r="N1306" s="412" t="str">
        <f>IF(NOT($N1328=38),"",IF(ISERROR(LOOKUP(38,'Teacher Summary Sheet'!$M$19:$M$181)),"",IF('Teacher Summary Sheet'!$F$31=0,"",'Teacher Summary Sheet'!$F$31)))</f>
        <v/>
      </c>
      <c r="O1306" s="440"/>
      <c r="P1306" s="413"/>
      <c r="Q1306" s="63"/>
      <c r="R1306" s="548"/>
      <c r="S1306" s="549"/>
      <c r="T1306" s="550"/>
    </row>
    <row r="1307" spans="1:20" ht="14.25" x14ac:dyDescent="0.2">
      <c r="A1307" s="83"/>
      <c r="B1307" s="410" t="s">
        <v>241</v>
      </c>
      <c r="C1307" s="420"/>
      <c r="D1307" s="411"/>
      <c r="E1307" s="421" t="str">
        <f>IF(NOT($N1328=38),"",IF(ISERROR(LOOKUP(38,'Teacher Summary Sheet'!$M$19:$M$181)),"",IF(VLOOKUP(38,'Teacher Summary Sheet'!$M$19:$R$181,3)=0,"",VLOOKUP(38,'Teacher Summary Sheet'!$M$19:$R$181,3))))</f>
        <v/>
      </c>
      <c r="F1307" s="422"/>
      <c r="G1307" s="422"/>
      <c r="H1307" s="422"/>
      <c r="I1307" s="423"/>
      <c r="J1307" s="414" t="s">
        <v>124</v>
      </c>
      <c r="K1307" s="415"/>
      <c r="L1307" s="424" t="str">
        <f>IF(NOT($N1328=38),"",IF(ISERROR(LOOKUP(38,'Teacher Summary Sheet'!$M$19:$M$181)),"",IF(VLOOKUP(38,'Teacher Summary Sheet'!$M$19:$R$181,4)=0,"",VLOOKUP(38,'Teacher Summary Sheet'!$M$19:$R$181,4))))</f>
        <v/>
      </c>
      <c r="M1307" s="425"/>
      <c r="N1307" s="425"/>
      <c r="O1307" s="425"/>
      <c r="P1307" s="426"/>
      <c r="Q1307" s="63"/>
      <c r="R1307" s="125" t="str">
        <f>IF(NOT(N1328=38),"",IF(COUNTIF(R1309:R1315,"P")=7,"P","O"))</f>
        <v/>
      </c>
      <c r="S1307" s="110" t="str">
        <f>IF(NOT(N1328=38),"",IF(COUNTIF(R1309:R1315,"P")=7,"Complete","Incomplete"))</f>
        <v/>
      </c>
      <c r="T1307" s="111"/>
    </row>
    <row r="1308" spans="1:20" x14ac:dyDescent="0.2">
      <c r="A1308" s="83"/>
      <c r="B1308" s="410" t="s">
        <v>120</v>
      </c>
      <c r="C1308" s="420"/>
      <c r="D1308" s="411"/>
      <c r="E1308" s="427"/>
      <c r="F1308" s="428"/>
      <c r="G1308" s="428"/>
      <c r="H1308" s="428"/>
      <c r="I1308" s="428"/>
      <c r="J1308" s="429"/>
      <c r="K1308" s="62" t="s">
        <v>121</v>
      </c>
      <c r="L1308" s="427"/>
      <c r="M1308" s="428"/>
      <c r="N1308" s="428"/>
      <c r="O1308" s="428"/>
      <c r="P1308" s="429"/>
      <c r="Q1308" s="63"/>
    </row>
    <row r="1309" spans="1:20" ht="14.25" x14ac:dyDescent="0.2">
      <c r="A1309" s="83"/>
      <c r="B1309" s="410" t="s">
        <v>196</v>
      </c>
      <c r="C1309" s="420"/>
      <c r="D1309" s="411"/>
      <c r="E1309" s="427"/>
      <c r="F1309" s="428"/>
      <c r="G1309" s="428"/>
      <c r="H1309" s="428"/>
      <c r="I1309" s="429"/>
      <c r="J1309" s="73" t="s">
        <v>197</v>
      </c>
      <c r="K1309" s="405"/>
      <c r="L1309" s="406"/>
      <c r="M1309" s="414" t="s">
        <v>212</v>
      </c>
      <c r="N1309" s="415"/>
      <c r="O1309" s="405"/>
      <c r="P1309" s="406"/>
      <c r="Q1309" s="63"/>
      <c r="R1309" s="124" t="str">
        <f>IF(NOT(N1328=38),"",IF(OR(COUNTBLANK(E1307:E1307)=1,COUNTBLANK(L1307:L1307)=1),"O","P"))</f>
        <v/>
      </c>
      <c r="S1309" s="108" t="str">
        <f>IF(NOT(N1328=38),"","Candidate Name")</f>
        <v/>
      </c>
      <c r="T1309" s="64"/>
    </row>
    <row r="1310" spans="1:20" ht="14.25" x14ac:dyDescent="0.2">
      <c r="A1310" s="83"/>
      <c r="B1310" s="410" t="s">
        <v>198</v>
      </c>
      <c r="C1310" s="420"/>
      <c r="D1310" s="411"/>
      <c r="E1310" s="454"/>
      <c r="F1310" s="455"/>
      <c r="G1310" s="455"/>
      <c r="H1310" s="456"/>
      <c r="I1310" s="74" t="s">
        <v>199</v>
      </c>
      <c r="J1310" s="427"/>
      <c r="K1310" s="428"/>
      <c r="L1310" s="428"/>
      <c r="M1310" s="428"/>
      <c r="N1310" s="428"/>
      <c r="O1310" s="428"/>
      <c r="P1310" s="429"/>
      <c r="Q1310" s="63"/>
      <c r="R1310" s="124" t="str">
        <f>IF(NOT(N1328=38),"",IF(COUNTBLANK(E1306:E1306)=1,"O","P"))</f>
        <v/>
      </c>
      <c r="S1310" s="108" t="str">
        <f>IF(NOT(N1328=38),"","Candidate ID")</f>
        <v/>
      </c>
      <c r="T1310" s="64"/>
    </row>
    <row r="1311" spans="1:20" ht="14.25" x14ac:dyDescent="0.2">
      <c r="A1311" s="83"/>
      <c r="B1311" s="410" t="s">
        <v>227</v>
      </c>
      <c r="C1311" s="420"/>
      <c r="D1311" s="411"/>
      <c r="E1311" s="75" t="s">
        <v>218</v>
      </c>
      <c r="F1311" s="405"/>
      <c r="G1311" s="448"/>
      <c r="H1311" s="75" t="s">
        <v>138</v>
      </c>
      <c r="I1311" s="449"/>
      <c r="J1311" s="450"/>
      <c r="K1311" s="76" t="s">
        <v>139</v>
      </c>
      <c r="L1311" s="451"/>
      <c r="M1311" s="452"/>
      <c r="N1311" s="76" t="s">
        <v>228</v>
      </c>
      <c r="O1311" s="453" t="str">
        <f ca="1">IF(OR(ISBLANK(L1311),ISBLANK(I1311),ISBLANK(F1311),COUNTBLANK(J1306:J1306)=1),"",IF(DATEDIF(DATE(L1311,VLOOKUP(I1311,data!$T$2:$U$13,2,FALSE),F1311),IF(AND(TODAY()&lt;data!$AJ$12,TODAY()&gt;data!$AI$12),data!$AI$3,data!$AJ$3),"Y")&gt;=data!$AC$40,YEAR(TODAY())-L1311,data!$AD$3))</f>
        <v/>
      </c>
      <c r="P1311" s="413"/>
      <c r="Q1311" s="63"/>
      <c r="R1311" s="124" t="str">
        <f>IF(NOT(N1328=38),"",IF(OR(ISBLANK(E1308),ISBLANK(L1308),ISBLANK(K1309),ISBLANK(O1309)),"O","P"))</f>
        <v/>
      </c>
      <c r="S1311" s="108" t="str">
        <f>IF(NOT(N1328=38),"","Address")</f>
        <v/>
      </c>
      <c r="T1311" s="64"/>
    </row>
    <row r="1312" spans="1:20" ht="15" thickBot="1" x14ac:dyDescent="0.25">
      <c r="A1312" s="83"/>
      <c r="B1312" s="410" t="s">
        <v>214</v>
      </c>
      <c r="C1312" s="411"/>
      <c r="D1312" s="412" t="str">
        <f>IF(NOT($N1328=38),"",IF(ISERROR(LOOKUP(38,'Teacher Summary Sheet'!$M$19:$M$181)),"",IF(VLOOKUP(38,'Teacher Summary Sheet'!$M$19:$R$181,5)=0,"",VLOOKUP(38,'Teacher Summary Sheet'!$M$19:$R$181,5))))</f>
        <v/>
      </c>
      <c r="E1312" s="413"/>
      <c r="F1312" s="414" t="s">
        <v>319</v>
      </c>
      <c r="G1312" s="415"/>
      <c r="H1312" s="416"/>
      <c r="I1312" s="417"/>
      <c r="J1312" s="418"/>
      <c r="K1312" s="414" t="s">
        <v>320</v>
      </c>
      <c r="L1312" s="419"/>
      <c r="M1312" s="419"/>
      <c r="N1312" s="415"/>
      <c r="O1312" s="405" t="s">
        <v>268</v>
      </c>
      <c r="P1312" s="406"/>
      <c r="Q1312" s="63"/>
      <c r="R1312" s="124" t="str">
        <f t="array" ref="R1312">IF(NOT(N1328=38),"",IF(OR(ISBLANK(F1311),ISBLANK(I1311),ISBLANK(L1311)),"O","P"))</f>
        <v/>
      </c>
      <c r="S1312" s="108" t="str">
        <f>IF(NOT(N1328=38),"","Date of Birth")</f>
        <v/>
      </c>
      <c r="T1312" s="64"/>
    </row>
    <row r="1313" spans="1:20" ht="14.25" x14ac:dyDescent="0.2">
      <c r="A1313" s="83"/>
      <c r="B1313" s="522" t="s">
        <v>297</v>
      </c>
      <c r="C1313" s="463"/>
      <c r="D1313" s="463"/>
      <c r="E1313" s="463"/>
      <c r="F1313" s="463"/>
      <c r="G1313" s="463"/>
      <c r="H1313" s="463"/>
      <c r="I1313" s="463"/>
      <c r="J1313" s="463"/>
      <c r="K1313" s="463"/>
      <c r="L1313" s="463"/>
      <c r="M1313" s="463"/>
      <c r="N1313" s="463"/>
      <c r="O1313" s="463"/>
      <c r="P1313" s="464"/>
      <c r="Q1313" s="63"/>
      <c r="R1313" s="124" t="str">
        <f>IF(NOT(N1328=38),"",IF(COUNTBLANK(J1306:J1306)=1,"O","P"))</f>
        <v/>
      </c>
      <c r="S1313" s="112" t="str">
        <f>IF(NOT(N1328=38),"","Exam Level")</f>
        <v/>
      </c>
      <c r="T1313" s="64"/>
    </row>
    <row r="1314" spans="1:20" ht="14.25" x14ac:dyDescent="0.2">
      <c r="A1314" s="83"/>
      <c r="B1314" s="465"/>
      <c r="C1314" s="466"/>
      <c r="D1314" s="466"/>
      <c r="E1314" s="466"/>
      <c r="F1314" s="466"/>
      <c r="G1314" s="466"/>
      <c r="H1314" s="466"/>
      <c r="I1314" s="466"/>
      <c r="J1314" s="466"/>
      <c r="K1314" s="466"/>
      <c r="L1314" s="466"/>
      <c r="M1314" s="466"/>
      <c r="N1314" s="466"/>
      <c r="O1314" s="466"/>
      <c r="P1314" s="467"/>
      <c r="Q1314" s="63"/>
      <c r="R1314" s="124" t="str">
        <f>IF(NOT(N1328=38),"",IF(COUNTBLANK(D1312:D1312)=1,"O","P"))</f>
        <v/>
      </c>
      <c r="S1314" s="109" t="str">
        <f>IF(NOT(N1328=38),"","Gender")</f>
        <v/>
      </c>
      <c r="T1314" s="64"/>
    </row>
    <row r="1315" spans="1:20" ht="14.25" x14ac:dyDescent="0.2">
      <c r="A1315" s="83"/>
      <c r="B1315" s="432" t="s">
        <v>298</v>
      </c>
      <c r="C1315" s="433"/>
      <c r="D1315" s="434"/>
      <c r="E1315" s="405"/>
      <c r="F1315" s="406"/>
      <c r="G1315" s="432" t="s">
        <v>299</v>
      </c>
      <c r="H1315" s="433"/>
      <c r="I1315" s="434"/>
      <c r="J1315" s="405"/>
      <c r="K1315" s="448"/>
      <c r="L1315" s="406"/>
      <c r="M1315" s="414" t="s">
        <v>300</v>
      </c>
      <c r="N1315" s="415"/>
      <c r="O1315" s="457"/>
      <c r="P1315" s="458"/>
      <c r="Q1315" s="63"/>
      <c r="R1315" s="124" t="str">
        <f>IF(NOT(N1328=38),"",IF(ISBLANK(H1312),"O","P"))</f>
        <v/>
      </c>
      <c r="S1315" s="109" t="str">
        <f>IF(NOT(N1328=38),"","Height")</f>
        <v/>
      </c>
      <c r="T1315" s="64"/>
    </row>
    <row r="1316" spans="1:20" x14ac:dyDescent="0.2">
      <c r="A1316" s="83"/>
      <c r="B1316" s="77" t="s">
        <v>153</v>
      </c>
      <c r="C1316" s="405"/>
      <c r="D1316" s="406"/>
      <c r="E1316" s="414" t="s">
        <v>301</v>
      </c>
      <c r="F1316" s="415"/>
      <c r="G1316" s="459"/>
      <c r="H1316" s="460"/>
      <c r="I1316" s="461"/>
      <c r="J1316" s="414" t="s">
        <v>302</v>
      </c>
      <c r="K1316" s="415"/>
      <c r="L1316" s="454"/>
      <c r="M1316" s="455"/>
      <c r="N1316" s="455"/>
      <c r="O1316" s="455"/>
      <c r="P1316" s="456"/>
      <c r="Q1316" s="63"/>
      <c r="R1316" s="64"/>
      <c r="S1316" s="64"/>
      <c r="T1316" s="64"/>
    </row>
    <row r="1317" spans="1:20" x14ac:dyDescent="0.2">
      <c r="A1317" s="83"/>
      <c r="B1317" s="410" t="s">
        <v>116</v>
      </c>
      <c r="C1317" s="420"/>
      <c r="D1317" s="420"/>
      <c r="E1317" s="420"/>
      <c r="F1317" s="420"/>
      <c r="G1317" s="420"/>
      <c r="H1317" s="420"/>
      <c r="I1317" s="420"/>
      <c r="J1317" s="420"/>
      <c r="K1317" s="420"/>
      <c r="L1317" s="420"/>
      <c r="M1317" s="420"/>
      <c r="N1317" s="420"/>
      <c r="O1317" s="420"/>
      <c r="P1317" s="411"/>
      <c r="Q1317" s="63"/>
      <c r="R1317" s="64"/>
      <c r="S1317" s="64"/>
      <c r="T1317" s="64"/>
    </row>
    <row r="1318" spans="1:20" x14ac:dyDescent="0.2">
      <c r="A1318" s="83"/>
      <c r="B1318" s="410" t="s">
        <v>298</v>
      </c>
      <c r="C1318" s="420"/>
      <c r="D1318" s="411"/>
      <c r="E1318" s="405"/>
      <c r="F1318" s="406"/>
      <c r="G1318" s="410" t="s">
        <v>299</v>
      </c>
      <c r="H1318" s="420"/>
      <c r="I1318" s="411"/>
      <c r="J1318" s="454"/>
      <c r="K1318" s="455"/>
      <c r="L1318" s="456"/>
      <c r="M1318" s="414" t="s">
        <v>300</v>
      </c>
      <c r="N1318" s="415"/>
      <c r="O1318" s="457"/>
      <c r="P1318" s="458"/>
      <c r="Q1318" s="63"/>
      <c r="R1318" s="64"/>
    </row>
    <row r="1319" spans="1:20" ht="13.5" thickBot="1" x14ac:dyDescent="0.25">
      <c r="A1319" s="83"/>
      <c r="B1319" s="78" t="s">
        <v>153</v>
      </c>
      <c r="C1319" s="492"/>
      <c r="D1319" s="493"/>
      <c r="E1319" s="494" t="s">
        <v>301</v>
      </c>
      <c r="F1319" s="495"/>
      <c r="G1319" s="496"/>
      <c r="H1319" s="497"/>
      <c r="I1319" s="498"/>
      <c r="J1319" s="414" t="s">
        <v>302</v>
      </c>
      <c r="K1319" s="415"/>
      <c r="L1319" s="454"/>
      <c r="M1319" s="455"/>
      <c r="N1319" s="455"/>
      <c r="O1319" s="455"/>
      <c r="P1319" s="456"/>
      <c r="Q1319" s="63"/>
      <c r="R1319" s="64"/>
    </row>
    <row r="1320" spans="1:20" x14ac:dyDescent="0.2">
      <c r="A1320" s="83"/>
      <c r="B1320" s="499" t="s">
        <v>126</v>
      </c>
      <c r="C1320" s="500"/>
      <c r="D1320" s="500"/>
      <c r="E1320" s="500"/>
      <c r="F1320" s="500"/>
      <c r="G1320" s="500"/>
      <c r="H1320" s="500"/>
      <c r="I1320" s="501"/>
      <c r="J1320" s="505"/>
      <c r="K1320" s="506"/>
      <c r="L1320" s="506"/>
      <c r="M1320" s="506"/>
      <c r="N1320" s="506"/>
      <c r="O1320" s="506"/>
      <c r="P1320" s="507"/>
      <c r="Q1320" s="63"/>
      <c r="R1320" s="64"/>
    </row>
    <row r="1321" spans="1:20" x14ac:dyDescent="0.2">
      <c r="A1321" s="83"/>
      <c r="B1321" s="502"/>
      <c r="C1321" s="503"/>
      <c r="D1321" s="503"/>
      <c r="E1321" s="503"/>
      <c r="F1321" s="503"/>
      <c r="G1321" s="503"/>
      <c r="H1321" s="503"/>
      <c r="I1321" s="504"/>
      <c r="J1321" s="508"/>
      <c r="K1321" s="509"/>
      <c r="L1321" s="509"/>
      <c r="M1321" s="509"/>
      <c r="N1321" s="509"/>
      <c r="O1321" s="509"/>
      <c r="P1321" s="510"/>
      <c r="Q1321" s="63"/>
      <c r="R1321" s="64"/>
    </row>
    <row r="1322" spans="1:20" x14ac:dyDescent="0.2">
      <c r="A1322" s="83"/>
      <c r="B1322" s="514" t="s">
        <v>127</v>
      </c>
      <c r="C1322" s="515"/>
      <c r="D1322" s="515"/>
      <c r="E1322" s="515"/>
      <c r="F1322" s="515"/>
      <c r="G1322" s="515"/>
      <c r="H1322" s="515"/>
      <c r="I1322" s="516"/>
      <c r="J1322" s="508"/>
      <c r="K1322" s="509"/>
      <c r="L1322" s="509"/>
      <c r="M1322" s="509"/>
      <c r="N1322" s="509"/>
      <c r="O1322" s="509"/>
      <c r="P1322" s="510"/>
      <c r="Q1322" s="63"/>
      <c r="R1322" s="64"/>
    </row>
    <row r="1323" spans="1:20" ht="13.5" thickBot="1" x14ac:dyDescent="0.25">
      <c r="A1323" s="83"/>
      <c r="B1323" s="517"/>
      <c r="C1323" s="518"/>
      <c r="D1323" s="518"/>
      <c r="E1323" s="518"/>
      <c r="F1323" s="518"/>
      <c r="G1323" s="518"/>
      <c r="H1323" s="518"/>
      <c r="I1323" s="519"/>
      <c r="J1323" s="511"/>
      <c r="K1323" s="512"/>
      <c r="L1323" s="512"/>
      <c r="M1323" s="512"/>
      <c r="N1323" s="512"/>
      <c r="O1323" s="512"/>
      <c r="P1323" s="513"/>
      <c r="Q1323" s="63"/>
      <c r="R1323" s="64"/>
    </row>
    <row r="1324" spans="1:20" x14ac:dyDescent="0.2">
      <c r="A1324" s="83"/>
      <c r="B1324" s="480" t="s">
        <v>10</v>
      </c>
      <c r="C1324" s="481"/>
      <c r="D1324" s="481"/>
      <c r="E1324" s="481"/>
      <c r="F1324" s="481"/>
      <c r="G1324" s="481"/>
      <c r="H1324" s="481"/>
      <c r="I1324" s="482"/>
      <c r="J1324" s="79">
        <v>1</v>
      </c>
      <c r="K1324" s="483"/>
      <c r="L1324" s="484"/>
      <c r="M1324" s="484"/>
      <c r="N1324" s="484"/>
      <c r="O1324" s="484"/>
      <c r="P1324" s="485"/>
      <c r="Q1324" s="63"/>
      <c r="R1324" s="64"/>
    </row>
    <row r="1325" spans="1:20" x14ac:dyDescent="0.2">
      <c r="A1325" s="83"/>
      <c r="B1325" s="486" t="s">
        <v>276</v>
      </c>
      <c r="C1325" s="487"/>
      <c r="D1325" s="487"/>
      <c r="E1325" s="487"/>
      <c r="F1325" s="487"/>
      <c r="G1325" s="487"/>
      <c r="H1325" s="487"/>
      <c r="I1325" s="488"/>
      <c r="J1325" s="80">
        <v>2</v>
      </c>
      <c r="K1325" s="454"/>
      <c r="L1325" s="455"/>
      <c r="M1325" s="455"/>
      <c r="N1325" s="455"/>
      <c r="O1325" s="455"/>
      <c r="P1325" s="456"/>
      <c r="Q1325" s="63"/>
      <c r="R1325" s="64"/>
    </row>
    <row r="1326" spans="1:20" x14ac:dyDescent="0.2">
      <c r="A1326" s="83"/>
      <c r="B1326" s="489" t="s">
        <v>234</v>
      </c>
      <c r="C1326" s="490"/>
      <c r="D1326" s="490"/>
      <c r="E1326" s="490"/>
      <c r="F1326" s="490"/>
      <c r="G1326" s="490"/>
      <c r="H1326" s="490"/>
      <c r="I1326" s="491"/>
      <c r="J1326" s="80">
        <v>3</v>
      </c>
      <c r="K1326" s="454"/>
      <c r="L1326" s="455"/>
      <c r="M1326" s="455"/>
      <c r="N1326" s="455"/>
      <c r="O1326" s="455"/>
      <c r="P1326" s="456"/>
      <c r="Q1326" s="63"/>
      <c r="R1326" s="64"/>
    </row>
    <row r="1327" spans="1:20" x14ac:dyDescent="0.2">
      <c r="A1327" s="83"/>
      <c r="B1327" s="468"/>
      <c r="C1327" s="468"/>
      <c r="D1327" s="468"/>
      <c r="E1327" s="468"/>
      <c r="F1327" s="468"/>
      <c r="G1327" s="468"/>
      <c r="H1327" s="468"/>
      <c r="I1327" s="468"/>
      <c r="J1327" s="468"/>
      <c r="K1327" s="468"/>
      <c r="L1327" s="468"/>
      <c r="M1327" s="468"/>
      <c r="N1327" s="468"/>
      <c r="O1327" s="468"/>
      <c r="P1327" s="468"/>
      <c r="Q1327" s="63"/>
      <c r="R1327" s="64"/>
    </row>
    <row r="1328" spans="1:20" ht="12" customHeight="1" x14ac:dyDescent="0.2">
      <c r="A1328" s="83"/>
      <c r="B1328" s="469" t="s">
        <v>84</v>
      </c>
      <c r="C1328" s="471" t="str">
        <f>IF(CODE(B1328)=89,"This candidate would like to receive Special","This candidate would not like to receive Special")</f>
        <v>This candidate would like to receive Special</v>
      </c>
      <c r="D1328" s="472"/>
      <c r="E1328" s="472"/>
      <c r="F1328" s="472"/>
      <c r="G1328" s="472"/>
      <c r="H1328" s="472"/>
      <c r="I1328" s="473"/>
      <c r="J1328" s="81"/>
      <c r="K1328" s="474" t="s">
        <v>235</v>
      </c>
      <c r="L1328" s="474"/>
      <c r="M1328" s="475"/>
      <c r="N1328" s="51" t="str">
        <f>IF($P$33&gt;=38,38,"")</f>
        <v/>
      </c>
      <c r="O1328" s="62" t="s">
        <v>52</v>
      </c>
      <c r="P1328" s="51" t="str">
        <f>IF($P$33&gt;=38,$P$33,"")</f>
        <v/>
      </c>
      <c r="Q1328" s="63"/>
      <c r="R1328" s="64"/>
    </row>
    <row r="1329" spans="1:20" ht="12" customHeight="1" x14ac:dyDescent="0.2">
      <c r="A1329" s="83"/>
      <c r="B1329" s="470"/>
      <c r="C1329" s="476" t="str">
        <f>IF(CODE(B1328)=89,"Announcements and Bulletins from RAD Canada","Announcements and Bulletins from RAD Canada")</f>
        <v>Announcements and Bulletins from RAD Canada</v>
      </c>
      <c r="D1329" s="477"/>
      <c r="E1329" s="477"/>
      <c r="F1329" s="477"/>
      <c r="G1329" s="477"/>
      <c r="H1329" s="477"/>
      <c r="I1329" s="478"/>
      <c r="J1329" s="479"/>
      <c r="K1329" s="400"/>
      <c r="L1329" s="400"/>
      <c r="M1329" s="400"/>
      <c r="N1329" s="400"/>
      <c r="O1329" s="400"/>
      <c r="P1329" s="400"/>
      <c r="Q1329" s="63"/>
      <c r="R1329" s="64"/>
    </row>
    <row r="1330" spans="1:20" x14ac:dyDescent="0.2">
      <c r="A1330" s="83"/>
      <c r="B1330" s="81"/>
      <c r="C1330" s="81"/>
      <c r="D1330" s="81"/>
      <c r="E1330" s="81"/>
      <c r="F1330" s="81"/>
      <c r="G1330" s="81"/>
      <c r="H1330" s="81"/>
      <c r="I1330" s="81"/>
      <c r="J1330" s="81"/>
      <c r="K1330" s="81"/>
      <c r="L1330" s="81"/>
      <c r="M1330" s="81"/>
      <c r="N1330" s="81"/>
      <c r="O1330" s="81"/>
      <c r="P1330" s="81"/>
      <c r="Q1330" s="63"/>
      <c r="R1330" s="64"/>
    </row>
    <row r="1331" spans="1:20" x14ac:dyDescent="0.2">
      <c r="A1331" s="83"/>
      <c r="B1331" s="62"/>
      <c r="C1331" s="62"/>
      <c r="D1331" s="62"/>
      <c r="E1331" s="62"/>
      <c r="F1331" s="62"/>
      <c r="G1331" s="62"/>
      <c r="H1331" s="62"/>
      <c r="I1331" s="62"/>
      <c r="J1331" s="62"/>
      <c r="K1331" s="62"/>
      <c r="L1331" s="62"/>
      <c r="M1331" s="62"/>
      <c r="N1331" s="62"/>
      <c r="O1331" s="62"/>
      <c r="P1331" s="62"/>
      <c r="Q1331" s="63"/>
      <c r="R1331" s="64"/>
    </row>
    <row r="1332" spans="1:20" x14ac:dyDescent="0.2">
      <c r="A1332" s="83"/>
      <c r="B1332" s="401" t="s">
        <v>281</v>
      </c>
      <c r="C1332" s="402"/>
      <c r="D1332" s="402"/>
      <c r="E1332" s="402"/>
      <c r="F1332" s="402"/>
      <c r="G1332" s="402"/>
      <c r="H1332" s="62"/>
      <c r="I1332" s="62"/>
      <c r="J1332" s="62"/>
      <c r="K1332" s="62"/>
      <c r="L1332" s="62"/>
      <c r="M1332" s="62"/>
      <c r="N1332" s="62"/>
      <c r="O1332" s="62"/>
      <c r="P1332" s="62"/>
      <c r="Q1332" s="63"/>
      <c r="R1332" s="64"/>
    </row>
    <row r="1333" spans="1:20" ht="15.75" x14ac:dyDescent="0.25">
      <c r="A1333" s="83"/>
      <c r="B1333" s="402"/>
      <c r="C1333" s="402"/>
      <c r="D1333" s="402"/>
      <c r="E1333" s="402"/>
      <c r="F1333" s="402"/>
      <c r="G1333" s="402"/>
      <c r="H1333" s="82"/>
      <c r="I1333" s="403"/>
      <c r="J1333" s="403"/>
      <c r="K1333" s="403"/>
      <c r="L1333" s="403"/>
      <c r="M1333" s="403"/>
      <c r="N1333" s="403"/>
      <c r="O1333" s="403"/>
      <c r="P1333" s="403"/>
      <c r="Q1333" s="63"/>
      <c r="R1333" s="64"/>
    </row>
    <row r="1334" spans="1:20" x14ac:dyDescent="0.2">
      <c r="A1334" s="83"/>
      <c r="B1334" s="400"/>
      <c r="C1334" s="400"/>
      <c r="D1334" s="400"/>
      <c r="E1334" s="400"/>
      <c r="F1334" s="400"/>
      <c r="G1334" s="400"/>
      <c r="H1334" s="400"/>
      <c r="I1334" s="400"/>
      <c r="J1334" s="400"/>
      <c r="K1334" s="400"/>
      <c r="L1334" s="400"/>
      <c r="M1334" s="403"/>
      <c r="N1334" s="403"/>
      <c r="O1334" s="403"/>
      <c r="P1334" s="403"/>
      <c r="Q1334" s="63"/>
      <c r="R1334" s="64"/>
    </row>
    <row r="1335" spans="1:20" x14ac:dyDescent="0.2">
      <c r="A1335" s="83"/>
      <c r="B1335" s="404" t="s">
        <v>260</v>
      </c>
      <c r="C1335" s="404"/>
      <c r="D1335" s="404"/>
      <c r="E1335" s="404"/>
      <c r="F1335" s="400"/>
      <c r="G1335" s="400"/>
      <c r="H1335" s="400"/>
      <c r="I1335" s="400"/>
      <c r="J1335" s="400"/>
      <c r="K1335" s="400"/>
      <c r="L1335" s="400"/>
      <c r="M1335" s="403"/>
      <c r="N1335" s="403"/>
      <c r="O1335" s="403"/>
      <c r="P1335" s="403"/>
      <c r="Q1335" s="63"/>
      <c r="R1335" s="64"/>
    </row>
    <row r="1336" spans="1:20" x14ac:dyDescent="0.2">
      <c r="A1336" s="83"/>
      <c r="B1336" s="69"/>
      <c r="C1336" s="324" t="s">
        <v>75</v>
      </c>
      <c r="D1336" s="408"/>
      <c r="E1336" s="409"/>
      <c r="F1336" s="400"/>
      <c r="G1336" s="400"/>
      <c r="H1336" s="400"/>
      <c r="I1336" s="400"/>
      <c r="J1336" s="400"/>
      <c r="K1336" s="400"/>
      <c r="L1336" s="400"/>
      <c r="M1336" s="70"/>
      <c r="N1336" s="70"/>
      <c r="O1336" s="70"/>
      <c r="P1336" s="70"/>
      <c r="Q1336" s="63"/>
      <c r="R1336" s="64"/>
    </row>
    <row r="1337" spans="1:20" x14ac:dyDescent="0.2">
      <c r="A1337" s="83"/>
      <c r="B1337" s="71"/>
      <c r="C1337" s="324" t="s">
        <v>128</v>
      </c>
      <c r="D1337" s="408"/>
      <c r="E1337" s="409"/>
      <c r="F1337" s="400"/>
      <c r="G1337" s="400"/>
      <c r="H1337" s="400"/>
      <c r="I1337" s="400"/>
      <c r="J1337" s="400"/>
      <c r="K1337" s="400"/>
      <c r="L1337" s="400"/>
      <c r="M1337" s="407" t="s">
        <v>256</v>
      </c>
      <c r="N1337" s="407"/>
      <c r="O1337" s="407"/>
      <c r="P1337" s="407"/>
      <c r="Q1337" s="63"/>
      <c r="R1337" s="64"/>
    </row>
    <row r="1338" spans="1:20" x14ac:dyDescent="0.2">
      <c r="A1338" s="83"/>
      <c r="B1338" s="56"/>
      <c r="C1338" s="324" t="s">
        <v>282</v>
      </c>
      <c r="D1338" s="408"/>
      <c r="E1338" s="409"/>
      <c r="F1338" s="400"/>
      <c r="G1338" s="400"/>
      <c r="H1338" s="400"/>
      <c r="I1338" s="400"/>
      <c r="J1338" s="400"/>
      <c r="K1338" s="400"/>
      <c r="L1338" s="400"/>
      <c r="M1338" s="407"/>
      <c r="N1338" s="407"/>
      <c r="O1338" s="407"/>
      <c r="P1338" s="407"/>
      <c r="Q1338" s="63"/>
      <c r="R1338" s="64"/>
    </row>
    <row r="1339" spans="1:20" x14ac:dyDescent="0.2">
      <c r="A1339" s="83"/>
      <c r="B1339" s="520"/>
      <c r="C1339" s="520"/>
      <c r="D1339" s="520"/>
      <c r="E1339" s="520"/>
      <c r="F1339" s="520"/>
      <c r="G1339" s="520"/>
      <c r="H1339" s="520"/>
      <c r="I1339" s="520"/>
      <c r="J1339" s="520"/>
      <c r="K1339" s="520"/>
      <c r="L1339" s="520"/>
      <c r="M1339" s="520"/>
      <c r="N1339" s="520"/>
      <c r="O1339" s="520"/>
      <c r="P1339" s="520"/>
      <c r="Q1339" s="63"/>
      <c r="R1339" s="64"/>
    </row>
    <row r="1340" spans="1:20" x14ac:dyDescent="0.2">
      <c r="A1340" s="83"/>
      <c r="B1340" s="432" t="s">
        <v>117</v>
      </c>
      <c r="C1340" s="433"/>
      <c r="D1340" s="434"/>
      <c r="E1340" s="442" t="str">
        <f>IF(AND($P$33&gt;=39,NOT(ISBLANK($E$10))),$E$10,"")</f>
        <v/>
      </c>
      <c r="F1340" s="443"/>
      <c r="G1340" s="444"/>
      <c r="H1340" s="414" t="s">
        <v>124</v>
      </c>
      <c r="I1340" s="415"/>
      <c r="J1340" s="442" t="str">
        <f>IF(AND($P$33&gt;=39,NOT(ISBLANK($J$10))),$J$10,"")</f>
        <v/>
      </c>
      <c r="K1340" s="443"/>
      <c r="L1340" s="444"/>
      <c r="M1340" s="414" t="s">
        <v>118</v>
      </c>
      <c r="N1340" s="415"/>
      <c r="O1340" s="430" t="str">
        <f>IF(AND($P$33&gt;=39,NOT(ISBLANK($O$10))),$O$10,"")</f>
        <v/>
      </c>
      <c r="P1340" s="521"/>
      <c r="Q1340" s="63"/>
      <c r="R1340" s="545" t="s">
        <v>307</v>
      </c>
      <c r="S1340" s="546"/>
      <c r="T1340" s="547"/>
    </row>
    <row r="1341" spans="1:20" x14ac:dyDescent="0.2">
      <c r="A1341" s="83"/>
      <c r="B1341" s="432" t="s">
        <v>240</v>
      </c>
      <c r="C1341" s="433"/>
      <c r="D1341" s="434"/>
      <c r="E1341" s="435" t="str">
        <f>IF(NOT($N1363=39),"",IF(ISERROR(LOOKUP(39,'Teacher Summary Sheet'!$M$19:$M$181)),"",IF(VLOOKUP(39,'Teacher Summary Sheet'!$M$19:$R$181,2)=0,"",VLOOKUP(39,'Teacher Summary Sheet'!$M$19:$R$181,2))))</f>
        <v/>
      </c>
      <c r="F1341" s="436"/>
      <c r="G1341" s="437"/>
      <c r="H1341" s="438" t="s">
        <v>119</v>
      </c>
      <c r="I1341" s="439"/>
      <c r="J1341" s="102" t="str">
        <f>IF(NOT($N1363=39),"",IF(ISERROR(LOOKUP(39,'Teacher Summary Sheet'!$M$19:$M$181)),"",IF(VLOOKUP(39,'Teacher Summary Sheet'!$M$19:$R$181,6)=0,"",VLOOKUP(39,'Teacher Summary Sheet'!$M$19:$R$181,6))))</f>
        <v/>
      </c>
      <c r="K1341" s="414" t="s">
        <v>179</v>
      </c>
      <c r="L1341" s="419"/>
      <c r="M1341" s="415"/>
      <c r="N1341" s="412" t="str">
        <f>IF(NOT($N1363=39),"",IF(ISERROR(LOOKUP(39,'Teacher Summary Sheet'!$M$19:$M$181)),"",IF('Teacher Summary Sheet'!$F$31=0,"",'Teacher Summary Sheet'!$F$31)))</f>
        <v/>
      </c>
      <c r="O1341" s="440"/>
      <c r="P1341" s="413"/>
      <c r="Q1341" s="63"/>
      <c r="R1341" s="548"/>
      <c r="S1341" s="549"/>
      <c r="T1341" s="550"/>
    </row>
    <row r="1342" spans="1:20" ht="14.25" x14ac:dyDescent="0.2">
      <c r="A1342" s="83"/>
      <c r="B1342" s="410" t="s">
        <v>241</v>
      </c>
      <c r="C1342" s="420"/>
      <c r="D1342" s="411"/>
      <c r="E1342" s="421" t="str">
        <f>IF(NOT($N1363=39),"",IF(ISERROR(LOOKUP(39,'Teacher Summary Sheet'!$M$19:$M$181)),"",IF(VLOOKUP(39,'Teacher Summary Sheet'!$M$19:$R$181,3)=0,"",VLOOKUP(39,'Teacher Summary Sheet'!$M$19:$R$181,3))))</f>
        <v/>
      </c>
      <c r="F1342" s="422"/>
      <c r="G1342" s="422"/>
      <c r="H1342" s="422"/>
      <c r="I1342" s="423"/>
      <c r="J1342" s="414" t="s">
        <v>124</v>
      </c>
      <c r="K1342" s="415"/>
      <c r="L1342" s="424" t="str">
        <f>IF(NOT($N1363=39),"",IF(ISERROR(LOOKUP(39,'Teacher Summary Sheet'!$M$19:$M$181)),"",IF(VLOOKUP(39,'Teacher Summary Sheet'!$M$19:$R$181,4)=0,"",VLOOKUP(39,'Teacher Summary Sheet'!$M$19:$R$181,4))))</f>
        <v/>
      </c>
      <c r="M1342" s="425"/>
      <c r="N1342" s="425"/>
      <c r="O1342" s="425"/>
      <c r="P1342" s="426"/>
      <c r="Q1342" s="63"/>
      <c r="R1342" s="125" t="str">
        <f>IF(NOT(N1363=39),"",IF(COUNTIF(R1344:R1350,"P")=7,"P","O"))</f>
        <v/>
      </c>
      <c r="S1342" s="110" t="str">
        <f>IF(NOT(N1363=39),"",IF(COUNTIF(R1344:R1350,"P")=7,"Complete","Incomplete"))</f>
        <v/>
      </c>
      <c r="T1342" s="111"/>
    </row>
    <row r="1343" spans="1:20" x14ac:dyDescent="0.2">
      <c r="A1343" s="83"/>
      <c r="B1343" s="410" t="s">
        <v>120</v>
      </c>
      <c r="C1343" s="420"/>
      <c r="D1343" s="411"/>
      <c r="E1343" s="427"/>
      <c r="F1343" s="428"/>
      <c r="G1343" s="428"/>
      <c r="H1343" s="428"/>
      <c r="I1343" s="428"/>
      <c r="J1343" s="429"/>
      <c r="K1343" s="62" t="s">
        <v>121</v>
      </c>
      <c r="L1343" s="427"/>
      <c r="M1343" s="428"/>
      <c r="N1343" s="428"/>
      <c r="O1343" s="428"/>
      <c r="P1343" s="429"/>
      <c r="Q1343" s="63"/>
    </row>
    <row r="1344" spans="1:20" ht="14.25" x14ac:dyDescent="0.2">
      <c r="A1344" s="83"/>
      <c r="B1344" s="410" t="s">
        <v>196</v>
      </c>
      <c r="C1344" s="420"/>
      <c r="D1344" s="411"/>
      <c r="E1344" s="427"/>
      <c r="F1344" s="428"/>
      <c r="G1344" s="428"/>
      <c r="H1344" s="428"/>
      <c r="I1344" s="429"/>
      <c r="J1344" s="73" t="s">
        <v>197</v>
      </c>
      <c r="K1344" s="405"/>
      <c r="L1344" s="406"/>
      <c r="M1344" s="414" t="s">
        <v>212</v>
      </c>
      <c r="N1344" s="415"/>
      <c r="O1344" s="405"/>
      <c r="P1344" s="406"/>
      <c r="Q1344" s="63"/>
      <c r="R1344" s="124" t="str">
        <f>IF(NOT(N1363=39),"",IF(OR(COUNTBLANK(E1342:E1342)=1,COUNTBLANK(L1342:L1342)=1),"O","P"))</f>
        <v/>
      </c>
      <c r="S1344" s="108" t="str">
        <f>IF(NOT(N1363=39),"","Candidate Name")</f>
        <v/>
      </c>
      <c r="T1344" s="64"/>
    </row>
    <row r="1345" spans="1:20" ht="14.25" x14ac:dyDescent="0.2">
      <c r="A1345" s="83"/>
      <c r="B1345" s="410" t="s">
        <v>198</v>
      </c>
      <c r="C1345" s="420"/>
      <c r="D1345" s="411"/>
      <c r="E1345" s="454"/>
      <c r="F1345" s="455"/>
      <c r="G1345" s="455"/>
      <c r="H1345" s="456"/>
      <c r="I1345" s="74" t="s">
        <v>199</v>
      </c>
      <c r="J1345" s="427"/>
      <c r="K1345" s="428"/>
      <c r="L1345" s="428"/>
      <c r="M1345" s="428"/>
      <c r="N1345" s="428"/>
      <c r="O1345" s="428"/>
      <c r="P1345" s="429"/>
      <c r="Q1345" s="63"/>
      <c r="R1345" s="124" t="str">
        <f>IF(NOT(N1363=39),"",IF(COUNTBLANK(E1341:E1341)=1,"O","P"))</f>
        <v/>
      </c>
      <c r="S1345" s="108" t="str">
        <f>IF(NOT(N1363=39),"","Candidate ID")</f>
        <v/>
      </c>
      <c r="T1345" s="64"/>
    </row>
    <row r="1346" spans="1:20" ht="14.25" x14ac:dyDescent="0.2">
      <c r="A1346" s="83"/>
      <c r="B1346" s="410" t="s">
        <v>227</v>
      </c>
      <c r="C1346" s="420"/>
      <c r="D1346" s="411"/>
      <c r="E1346" s="75" t="s">
        <v>218</v>
      </c>
      <c r="F1346" s="405"/>
      <c r="G1346" s="448"/>
      <c r="H1346" s="75" t="s">
        <v>138</v>
      </c>
      <c r="I1346" s="449"/>
      <c r="J1346" s="450"/>
      <c r="K1346" s="76" t="s">
        <v>139</v>
      </c>
      <c r="L1346" s="451"/>
      <c r="M1346" s="452"/>
      <c r="N1346" s="76" t="s">
        <v>228</v>
      </c>
      <c r="O1346" s="453" t="str">
        <f ca="1">IF(OR(ISBLANK(L1346),ISBLANK(I1346),ISBLANK(F1346),COUNTBLANK(J1341:J1341)=1),"",IF(DATEDIF(DATE(L1346,VLOOKUP(I1346,data!$T$2:$U$13,2,FALSE),F1346),IF(AND(TODAY()&lt;data!$AJ$12,TODAY()&gt;data!$AI$12),data!$AI$3,data!$AJ$3),"Y")&gt;=data!$AC$41,YEAR(TODAY())-L1346,data!$AD$3))</f>
        <v/>
      </c>
      <c r="P1346" s="413"/>
      <c r="Q1346" s="63"/>
      <c r="R1346" s="124" t="str">
        <f>IF(NOT(N1363=39),"",IF(OR(ISBLANK(E1343),ISBLANK(L1343),ISBLANK(K1344),ISBLANK(O1344)),"O","P"))</f>
        <v/>
      </c>
      <c r="S1346" s="108" t="str">
        <f>IF(NOT(N1363=39),"","Address")</f>
        <v/>
      </c>
      <c r="T1346" s="64"/>
    </row>
    <row r="1347" spans="1:20" ht="15" thickBot="1" x14ac:dyDescent="0.25">
      <c r="A1347" s="83"/>
      <c r="B1347" s="410" t="s">
        <v>214</v>
      </c>
      <c r="C1347" s="411"/>
      <c r="D1347" s="412" t="str">
        <f>IF(NOT($N1363=39),"",IF(ISERROR(LOOKUP(39,'Teacher Summary Sheet'!$M$19:$M$181)),"",IF(VLOOKUP(39,'Teacher Summary Sheet'!$M$19:$R$181,5)=0,"",VLOOKUP(39,'Teacher Summary Sheet'!$M$19:$R$181,5))))</f>
        <v/>
      </c>
      <c r="E1347" s="413"/>
      <c r="F1347" s="414" t="s">
        <v>319</v>
      </c>
      <c r="G1347" s="415"/>
      <c r="H1347" s="416"/>
      <c r="I1347" s="417"/>
      <c r="J1347" s="418"/>
      <c r="K1347" s="414" t="s">
        <v>320</v>
      </c>
      <c r="L1347" s="419"/>
      <c r="M1347" s="419"/>
      <c r="N1347" s="415"/>
      <c r="O1347" s="405" t="s">
        <v>268</v>
      </c>
      <c r="P1347" s="406"/>
      <c r="Q1347" s="63"/>
      <c r="R1347" s="124" t="str">
        <f>IF(NOT(N1363=39),"",IF(OR(ISBLANK(F1346),ISBLANK(I1346),ISBLANK(L1346)),"O","P"))</f>
        <v/>
      </c>
      <c r="S1347" s="108" t="str">
        <f>IF(NOT(N1363=39),"","Date of Birth")</f>
        <v/>
      </c>
      <c r="T1347" s="64"/>
    </row>
    <row r="1348" spans="1:20" ht="14.25" x14ac:dyDescent="0.2">
      <c r="A1348" s="83"/>
      <c r="B1348" s="522" t="s">
        <v>297</v>
      </c>
      <c r="C1348" s="463"/>
      <c r="D1348" s="463"/>
      <c r="E1348" s="463"/>
      <c r="F1348" s="463"/>
      <c r="G1348" s="463"/>
      <c r="H1348" s="463"/>
      <c r="I1348" s="463"/>
      <c r="J1348" s="463"/>
      <c r="K1348" s="463"/>
      <c r="L1348" s="463"/>
      <c r="M1348" s="463"/>
      <c r="N1348" s="463"/>
      <c r="O1348" s="463"/>
      <c r="P1348" s="464"/>
      <c r="Q1348" s="63"/>
      <c r="R1348" s="124" t="str">
        <f>IF(NOT(N1363=39),"",IF(COUNTBLANK(J1341:J1341)=1,"O","P"))</f>
        <v/>
      </c>
      <c r="S1348" s="112" t="str">
        <f>IF(NOT(N1363=39),"","Exam Level")</f>
        <v/>
      </c>
      <c r="T1348" s="64"/>
    </row>
    <row r="1349" spans="1:20" ht="14.25" x14ac:dyDescent="0.2">
      <c r="A1349" s="83"/>
      <c r="B1349" s="465"/>
      <c r="C1349" s="466"/>
      <c r="D1349" s="466"/>
      <c r="E1349" s="466"/>
      <c r="F1349" s="466"/>
      <c r="G1349" s="466"/>
      <c r="H1349" s="466"/>
      <c r="I1349" s="466"/>
      <c r="J1349" s="466"/>
      <c r="K1349" s="466"/>
      <c r="L1349" s="466"/>
      <c r="M1349" s="466"/>
      <c r="N1349" s="466"/>
      <c r="O1349" s="466"/>
      <c r="P1349" s="467"/>
      <c r="Q1349" s="63"/>
      <c r="R1349" s="124" t="str">
        <f>IF(NOT(N1363=39),"",IF(COUNTBLANK(D1347:D1347)=1,"O","P"))</f>
        <v/>
      </c>
      <c r="S1349" s="109" t="str">
        <f>IF(NOT(N1363=39),"","Gender")</f>
        <v/>
      </c>
      <c r="T1349" s="64"/>
    </row>
    <row r="1350" spans="1:20" ht="14.25" x14ac:dyDescent="0.2">
      <c r="A1350" s="83"/>
      <c r="B1350" s="432" t="s">
        <v>298</v>
      </c>
      <c r="C1350" s="433"/>
      <c r="D1350" s="434"/>
      <c r="E1350" s="405"/>
      <c r="F1350" s="406"/>
      <c r="G1350" s="432" t="s">
        <v>299</v>
      </c>
      <c r="H1350" s="433"/>
      <c r="I1350" s="434"/>
      <c r="J1350" s="405"/>
      <c r="K1350" s="448"/>
      <c r="L1350" s="406"/>
      <c r="M1350" s="414" t="s">
        <v>300</v>
      </c>
      <c r="N1350" s="415"/>
      <c r="O1350" s="457"/>
      <c r="P1350" s="458"/>
      <c r="Q1350" s="63"/>
      <c r="R1350" s="124" t="str">
        <f>IF(NOT(N1363=39),"",IF(ISBLANK(H1347),"O","P"))</f>
        <v/>
      </c>
      <c r="S1350" s="109" t="str">
        <f>IF(NOT(N1363=39),"","Height")</f>
        <v/>
      </c>
      <c r="T1350" s="64"/>
    </row>
    <row r="1351" spans="1:20" x14ac:dyDescent="0.2">
      <c r="A1351" s="83"/>
      <c r="B1351" s="77" t="s">
        <v>153</v>
      </c>
      <c r="C1351" s="405"/>
      <c r="D1351" s="406"/>
      <c r="E1351" s="414" t="s">
        <v>301</v>
      </c>
      <c r="F1351" s="415"/>
      <c r="G1351" s="459"/>
      <c r="H1351" s="460"/>
      <c r="I1351" s="461"/>
      <c r="J1351" s="414" t="s">
        <v>302</v>
      </c>
      <c r="K1351" s="415"/>
      <c r="L1351" s="454"/>
      <c r="M1351" s="455"/>
      <c r="N1351" s="455"/>
      <c r="O1351" s="455"/>
      <c r="P1351" s="456"/>
      <c r="Q1351" s="63"/>
      <c r="R1351" s="64"/>
      <c r="S1351" s="64"/>
      <c r="T1351" s="64"/>
    </row>
    <row r="1352" spans="1:20" x14ac:dyDescent="0.2">
      <c r="A1352" s="83"/>
      <c r="B1352" s="410" t="s">
        <v>116</v>
      </c>
      <c r="C1352" s="420"/>
      <c r="D1352" s="420"/>
      <c r="E1352" s="420"/>
      <c r="F1352" s="420"/>
      <c r="G1352" s="420"/>
      <c r="H1352" s="420"/>
      <c r="I1352" s="420"/>
      <c r="J1352" s="420"/>
      <c r="K1352" s="420"/>
      <c r="L1352" s="420"/>
      <c r="M1352" s="420"/>
      <c r="N1352" s="420"/>
      <c r="O1352" s="420"/>
      <c r="P1352" s="411"/>
      <c r="Q1352" s="63"/>
      <c r="R1352" s="64"/>
      <c r="S1352" s="64"/>
      <c r="T1352" s="64"/>
    </row>
    <row r="1353" spans="1:20" x14ac:dyDescent="0.2">
      <c r="A1353" s="83"/>
      <c r="B1353" s="410" t="s">
        <v>298</v>
      </c>
      <c r="C1353" s="420"/>
      <c r="D1353" s="411"/>
      <c r="E1353" s="405"/>
      <c r="F1353" s="406"/>
      <c r="G1353" s="410" t="s">
        <v>299</v>
      </c>
      <c r="H1353" s="420"/>
      <c r="I1353" s="411"/>
      <c r="J1353" s="454"/>
      <c r="K1353" s="455"/>
      <c r="L1353" s="456"/>
      <c r="M1353" s="414" t="s">
        <v>300</v>
      </c>
      <c r="N1353" s="415"/>
      <c r="O1353" s="457"/>
      <c r="P1353" s="458"/>
      <c r="Q1353" s="63"/>
      <c r="R1353" s="64"/>
    </row>
    <row r="1354" spans="1:20" ht="13.5" thickBot="1" x14ac:dyDescent="0.25">
      <c r="A1354" s="83"/>
      <c r="B1354" s="78" t="s">
        <v>153</v>
      </c>
      <c r="C1354" s="492"/>
      <c r="D1354" s="493"/>
      <c r="E1354" s="494" t="s">
        <v>301</v>
      </c>
      <c r="F1354" s="495"/>
      <c r="G1354" s="496"/>
      <c r="H1354" s="497"/>
      <c r="I1354" s="498"/>
      <c r="J1354" s="414" t="s">
        <v>302</v>
      </c>
      <c r="K1354" s="415"/>
      <c r="L1354" s="454"/>
      <c r="M1354" s="455"/>
      <c r="N1354" s="455"/>
      <c r="O1354" s="455"/>
      <c r="P1354" s="456"/>
      <c r="Q1354" s="63"/>
      <c r="R1354" s="64"/>
    </row>
    <row r="1355" spans="1:20" x14ac:dyDescent="0.2">
      <c r="A1355" s="83"/>
      <c r="B1355" s="499" t="s">
        <v>126</v>
      </c>
      <c r="C1355" s="500"/>
      <c r="D1355" s="500"/>
      <c r="E1355" s="500"/>
      <c r="F1355" s="500"/>
      <c r="G1355" s="500"/>
      <c r="H1355" s="500"/>
      <c r="I1355" s="501"/>
      <c r="J1355" s="505"/>
      <c r="K1355" s="506"/>
      <c r="L1355" s="506"/>
      <c r="M1355" s="506"/>
      <c r="N1355" s="506"/>
      <c r="O1355" s="506"/>
      <c r="P1355" s="507"/>
      <c r="Q1355" s="63"/>
      <c r="R1355" s="64"/>
    </row>
    <row r="1356" spans="1:20" x14ac:dyDescent="0.2">
      <c r="A1356" s="83"/>
      <c r="B1356" s="502"/>
      <c r="C1356" s="503"/>
      <c r="D1356" s="503"/>
      <c r="E1356" s="503"/>
      <c r="F1356" s="503"/>
      <c r="G1356" s="503"/>
      <c r="H1356" s="503"/>
      <c r="I1356" s="504"/>
      <c r="J1356" s="508"/>
      <c r="K1356" s="509"/>
      <c r="L1356" s="509"/>
      <c r="M1356" s="509"/>
      <c r="N1356" s="509"/>
      <c r="O1356" s="509"/>
      <c r="P1356" s="510"/>
      <c r="Q1356" s="63"/>
      <c r="R1356" s="64"/>
    </row>
    <row r="1357" spans="1:20" x14ac:dyDescent="0.2">
      <c r="A1357" s="83"/>
      <c r="B1357" s="514" t="s">
        <v>127</v>
      </c>
      <c r="C1357" s="515"/>
      <c r="D1357" s="515"/>
      <c r="E1357" s="515"/>
      <c r="F1357" s="515"/>
      <c r="G1357" s="515"/>
      <c r="H1357" s="515"/>
      <c r="I1357" s="516"/>
      <c r="J1357" s="508"/>
      <c r="K1357" s="509"/>
      <c r="L1357" s="509"/>
      <c r="M1357" s="509"/>
      <c r="N1357" s="509"/>
      <c r="O1357" s="509"/>
      <c r="P1357" s="510"/>
      <c r="Q1357" s="63"/>
      <c r="R1357" s="64"/>
    </row>
    <row r="1358" spans="1:20" ht="13.5" thickBot="1" x14ac:dyDescent="0.25">
      <c r="A1358" s="83"/>
      <c r="B1358" s="517"/>
      <c r="C1358" s="518"/>
      <c r="D1358" s="518"/>
      <c r="E1358" s="518"/>
      <c r="F1358" s="518"/>
      <c r="G1358" s="518"/>
      <c r="H1358" s="518"/>
      <c r="I1358" s="519"/>
      <c r="J1358" s="511"/>
      <c r="K1358" s="512"/>
      <c r="L1358" s="512"/>
      <c r="M1358" s="512"/>
      <c r="N1358" s="512"/>
      <c r="O1358" s="512"/>
      <c r="P1358" s="513"/>
      <c r="Q1358" s="63"/>
      <c r="R1358" s="64"/>
    </row>
    <row r="1359" spans="1:20" x14ac:dyDescent="0.2">
      <c r="A1359" s="83"/>
      <c r="B1359" s="480" t="s">
        <v>10</v>
      </c>
      <c r="C1359" s="481"/>
      <c r="D1359" s="481"/>
      <c r="E1359" s="481"/>
      <c r="F1359" s="481"/>
      <c r="G1359" s="481"/>
      <c r="H1359" s="481"/>
      <c r="I1359" s="482"/>
      <c r="J1359" s="79">
        <v>1</v>
      </c>
      <c r="K1359" s="483"/>
      <c r="L1359" s="484"/>
      <c r="M1359" s="484"/>
      <c r="N1359" s="484"/>
      <c r="O1359" s="484"/>
      <c r="P1359" s="485"/>
      <c r="Q1359" s="63"/>
      <c r="R1359" s="64"/>
    </row>
    <row r="1360" spans="1:20" x14ac:dyDescent="0.2">
      <c r="A1360" s="83"/>
      <c r="B1360" s="486" t="s">
        <v>276</v>
      </c>
      <c r="C1360" s="487"/>
      <c r="D1360" s="487"/>
      <c r="E1360" s="487"/>
      <c r="F1360" s="487"/>
      <c r="G1360" s="487"/>
      <c r="H1360" s="487"/>
      <c r="I1360" s="488"/>
      <c r="J1360" s="80">
        <v>2</v>
      </c>
      <c r="K1360" s="454"/>
      <c r="L1360" s="455"/>
      <c r="M1360" s="455"/>
      <c r="N1360" s="455"/>
      <c r="O1360" s="455"/>
      <c r="P1360" s="456"/>
      <c r="Q1360" s="63"/>
      <c r="R1360" s="64"/>
    </row>
    <row r="1361" spans="1:20" x14ac:dyDescent="0.2">
      <c r="A1361" s="83"/>
      <c r="B1361" s="489" t="s">
        <v>234</v>
      </c>
      <c r="C1361" s="490"/>
      <c r="D1361" s="490"/>
      <c r="E1361" s="490"/>
      <c r="F1361" s="490"/>
      <c r="G1361" s="490"/>
      <c r="H1361" s="490"/>
      <c r="I1361" s="491"/>
      <c r="J1361" s="80">
        <v>3</v>
      </c>
      <c r="K1361" s="454"/>
      <c r="L1361" s="455"/>
      <c r="M1361" s="455"/>
      <c r="N1361" s="455"/>
      <c r="O1361" s="455"/>
      <c r="P1361" s="456"/>
      <c r="Q1361" s="63"/>
      <c r="R1361" s="64"/>
    </row>
    <row r="1362" spans="1:20" x14ac:dyDescent="0.2">
      <c r="A1362" s="83"/>
      <c r="B1362" s="468"/>
      <c r="C1362" s="468"/>
      <c r="D1362" s="468"/>
      <c r="E1362" s="468"/>
      <c r="F1362" s="468"/>
      <c r="G1362" s="468"/>
      <c r="H1362" s="468"/>
      <c r="I1362" s="468"/>
      <c r="J1362" s="468"/>
      <c r="K1362" s="468"/>
      <c r="L1362" s="468"/>
      <c r="M1362" s="468"/>
      <c r="N1362" s="468"/>
      <c r="O1362" s="468"/>
      <c r="P1362" s="468"/>
      <c r="Q1362" s="63"/>
      <c r="R1362" s="64"/>
    </row>
    <row r="1363" spans="1:20" ht="12" customHeight="1" x14ac:dyDescent="0.2">
      <c r="A1363" s="83"/>
      <c r="B1363" s="469" t="s">
        <v>84</v>
      </c>
      <c r="C1363" s="471" t="str">
        <f>IF(CODE(B1363)=89,"This candidate would like to receive Special","This candidate would not like to receive Special")</f>
        <v>This candidate would like to receive Special</v>
      </c>
      <c r="D1363" s="472"/>
      <c r="E1363" s="472"/>
      <c r="F1363" s="472"/>
      <c r="G1363" s="472"/>
      <c r="H1363" s="472"/>
      <c r="I1363" s="473"/>
      <c r="J1363" s="81"/>
      <c r="K1363" s="474" t="s">
        <v>205</v>
      </c>
      <c r="L1363" s="474"/>
      <c r="M1363" s="475"/>
      <c r="N1363" s="51" t="str">
        <f>IF($P$33&gt;=39,39,"")</f>
        <v/>
      </c>
      <c r="O1363" s="62" t="s">
        <v>52</v>
      </c>
      <c r="P1363" s="51" t="str">
        <f>IF($P$33&gt;=39,$P$33,"")</f>
        <v/>
      </c>
      <c r="Q1363" s="63"/>
      <c r="R1363" s="64"/>
    </row>
    <row r="1364" spans="1:20" ht="12" customHeight="1" x14ac:dyDescent="0.2">
      <c r="A1364" s="83"/>
      <c r="B1364" s="470"/>
      <c r="C1364" s="476" t="str">
        <f>IF(CODE(B1363)=89,"Announcements and Bulletins from RAD Canada","Announcements and Bulletins from RAD Canada")</f>
        <v>Announcements and Bulletins from RAD Canada</v>
      </c>
      <c r="D1364" s="477"/>
      <c r="E1364" s="477"/>
      <c r="F1364" s="477"/>
      <c r="G1364" s="477"/>
      <c r="H1364" s="477"/>
      <c r="I1364" s="478"/>
      <c r="J1364" s="479"/>
      <c r="K1364" s="400"/>
      <c r="L1364" s="400"/>
      <c r="M1364" s="400"/>
      <c r="N1364" s="400"/>
      <c r="O1364" s="400"/>
      <c r="P1364" s="400"/>
      <c r="Q1364" s="63"/>
      <c r="R1364" s="64"/>
    </row>
    <row r="1365" spans="1:20" x14ac:dyDescent="0.2">
      <c r="A1365" s="83"/>
      <c r="B1365" s="81"/>
      <c r="C1365" s="81"/>
      <c r="D1365" s="81"/>
      <c r="E1365" s="81"/>
      <c r="F1365" s="81"/>
      <c r="G1365" s="81"/>
      <c r="H1365" s="81"/>
      <c r="I1365" s="81"/>
      <c r="J1365" s="81"/>
      <c r="K1365" s="81"/>
      <c r="L1365" s="81"/>
      <c r="M1365" s="81"/>
      <c r="N1365" s="81"/>
      <c r="O1365" s="81"/>
      <c r="P1365" s="81"/>
      <c r="Q1365" s="63"/>
      <c r="R1365" s="64"/>
    </row>
    <row r="1366" spans="1:20" x14ac:dyDescent="0.2">
      <c r="A1366" s="83"/>
      <c r="B1366" s="62"/>
      <c r="C1366" s="62"/>
      <c r="D1366" s="62"/>
      <c r="E1366" s="62"/>
      <c r="F1366" s="62"/>
      <c r="G1366" s="62"/>
      <c r="H1366" s="62"/>
      <c r="I1366" s="62"/>
      <c r="J1366" s="62"/>
      <c r="K1366" s="62"/>
      <c r="L1366" s="62"/>
      <c r="M1366" s="62"/>
      <c r="N1366" s="62"/>
      <c r="O1366" s="62"/>
      <c r="P1366" s="62"/>
      <c r="Q1366" s="63"/>
      <c r="R1366" s="64"/>
    </row>
    <row r="1367" spans="1:20" x14ac:dyDescent="0.2">
      <c r="A1367" s="83"/>
      <c r="B1367" s="401" t="s">
        <v>172</v>
      </c>
      <c r="C1367" s="402"/>
      <c r="D1367" s="402"/>
      <c r="E1367" s="402"/>
      <c r="F1367" s="402"/>
      <c r="G1367" s="402"/>
      <c r="H1367" s="62"/>
      <c r="I1367" s="62"/>
      <c r="J1367" s="62"/>
      <c r="K1367" s="62"/>
      <c r="L1367" s="62"/>
      <c r="M1367" s="62"/>
      <c r="N1367" s="62"/>
      <c r="O1367" s="62"/>
      <c r="P1367" s="62"/>
      <c r="Q1367" s="63"/>
      <c r="R1367" s="64"/>
    </row>
    <row r="1368" spans="1:20" ht="15.75" x14ac:dyDescent="0.25">
      <c r="A1368" s="83"/>
      <c r="B1368" s="402"/>
      <c r="C1368" s="402"/>
      <c r="D1368" s="402"/>
      <c r="E1368" s="402"/>
      <c r="F1368" s="402"/>
      <c r="G1368" s="402"/>
      <c r="H1368" s="82"/>
      <c r="I1368" s="403"/>
      <c r="J1368" s="403"/>
      <c r="K1368" s="403"/>
      <c r="L1368" s="403"/>
      <c r="M1368" s="403"/>
      <c r="N1368" s="403"/>
      <c r="O1368" s="403"/>
      <c r="P1368" s="403"/>
      <c r="Q1368" s="63"/>
      <c r="R1368" s="64"/>
    </row>
    <row r="1369" spans="1:20" x14ac:dyDescent="0.2">
      <c r="A1369" s="83"/>
      <c r="B1369" s="400"/>
      <c r="C1369" s="400"/>
      <c r="D1369" s="400"/>
      <c r="E1369" s="400"/>
      <c r="F1369" s="400"/>
      <c r="G1369" s="400"/>
      <c r="H1369" s="400"/>
      <c r="I1369" s="400"/>
      <c r="J1369" s="400"/>
      <c r="K1369" s="400"/>
      <c r="L1369" s="400"/>
      <c r="M1369" s="403"/>
      <c r="N1369" s="403"/>
      <c r="O1369" s="403"/>
      <c r="P1369" s="403"/>
      <c r="Q1369" s="63"/>
      <c r="R1369" s="64"/>
    </row>
    <row r="1370" spans="1:20" x14ac:dyDescent="0.2">
      <c r="A1370" s="83"/>
      <c r="B1370" s="404" t="s">
        <v>260</v>
      </c>
      <c r="C1370" s="404"/>
      <c r="D1370" s="404"/>
      <c r="E1370" s="404"/>
      <c r="F1370" s="400"/>
      <c r="G1370" s="400"/>
      <c r="H1370" s="400"/>
      <c r="I1370" s="400"/>
      <c r="J1370" s="400"/>
      <c r="K1370" s="400"/>
      <c r="L1370" s="400"/>
      <c r="M1370" s="403"/>
      <c r="N1370" s="403"/>
      <c r="O1370" s="403"/>
      <c r="P1370" s="403"/>
      <c r="Q1370" s="63"/>
      <c r="R1370" s="64"/>
    </row>
    <row r="1371" spans="1:20" x14ac:dyDescent="0.2">
      <c r="A1371" s="83"/>
      <c r="B1371" s="69"/>
      <c r="C1371" s="324" t="s">
        <v>75</v>
      </c>
      <c r="D1371" s="408"/>
      <c r="E1371" s="409"/>
      <c r="F1371" s="400"/>
      <c r="G1371" s="400"/>
      <c r="H1371" s="400"/>
      <c r="I1371" s="400"/>
      <c r="J1371" s="400"/>
      <c r="K1371" s="400"/>
      <c r="L1371" s="400"/>
      <c r="M1371" s="70"/>
      <c r="N1371" s="70"/>
      <c r="O1371" s="70"/>
      <c r="P1371" s="70"/>
      <c r="Q1371" s="63"/>
      <c r="R1371" s="64"/>
    </row>
    <row r="1372" spans="1:20" x14ac:dyDescent="0.2">
      <c r="A1372" s="83"/>
      <c r="B1372" s="71"/>
      <c r="C1372" s="324" t="s">
        <v>128</v>
      </c>
      <c r="D1372" s="408"/>
      <c r="E1372" s="409"/>
      <c r="F1372" s="400"/>
      <c r="G1372" s="400"/>
      <c r="H1372" s="400"/>
      <c r="I1372" s="400"/>
      <c r="J1372" s="400"/>
      <c r="K1372" s="400"/>
      <c r="L1372" s="400"/>
      <c r="M1372" s="407" t="s">
        <v>256</v>
      </c>
      <c r="N1372" s="407"/>
      <c r="O1372" s="407"/>
      <c r="P1372" s="407"/>
      <c r="Q1372" s="63"/>
      <c r="R1372" s="64"/>
    </row>
    <row r="1373" spans="1:20" x14ac:dyDescent="0.2">
      <c r="A1373" s="83"/>
      <c r="B1373" s="56"/>
      <c r="C1373" s="324" t="s">
        <v>142</v>
      </c>
      <c r="D1373" s="408"/>
      <c r="E1373" s="409"/>
      <c r="F1373" s="400"/>
      <c r="G1373" s="400"/>
      <c r="H1373" s="400"/>
      <c r="I1373" s="400"/>
      <c r="J1373" s="400"/>
      <c r="K1373" s="400"/>
      <c r="L1373" s="400"/>
      <c r="M1373" s="407"/>
      <c r="N1373" s="407"/>
      <c r="O1373" s="407"/>
      <c r="P1373" s="407"/>
      <c r="Q1373" s="63"/>
      <c r="R1373" s="64"/>
    </row>
    <row r="1374" spans="1:20" x14ac:dyDescent="0.2">
      <c r="A1374" s="83"/>
      <c r="B1374" s="520"/>
      <c r="C1374" s="520"/>
      <c r="D1374" s="520"/>
      <c r="E1374" s="520"/>
      <c r="F1374" s="520"/>
      <c r="G1374" s="520"/>
      <c r="H1374" s="520"/>
      <c r="I1374" s="520"/>
      <c r="J1374" s="520"/>
      <c r="K1374" s="520"/>
      <c r="L1374" s="520"/>
      <c r="M1374" s="520"/>
      <c r="N1374" s="520"/>
      <c r="O1374" s="520"/>
      <c r="P1374" s="520"/>
      <c r="Q1374" s="63"/>
      <c r="R1374" s="64"/>
    </row>
    <row r="1375" spans="1:20" x14ac:dyDescent="0.2">
      <c r="A1375" s="83"/>
      <c r="B1375" s="432" t="s">
        <v>117</v>
      </c>
      <c r="C1375" s="433"/>
      <c r="D1375" s="434"/>
      <c r="E1375" s="442" t="str">
        <f>IF(AND($P$33&gt;=40,NOT(ISBLANK($E$10))),$E$10,"")</f>
        <v/>
      </c>
      <c r="F1375" s="443"/>
      <c r="G1375" s="444"/>
      <c r="H1375" s="414" t="s">
        <v>124</v>
      </c>
      <c r="I1375" s="415"/>
      <c r="J1375" s="442" t="str">
        <f>IF(AND($P$33&gt;=40,NOT(ISBLANK($J$10))),$J$10,"")</f>
        <v/>
      </c>
      <c r="K1375" s="443"/>
      <c r="L1375" s="444"/>
      <c r="M1375" s="414" t="s">
        <v>118</v>
      </c>
      <c r="N1375" s="415"/>
      <c r="O1375" s="430" t="str">
        <f>IF(AND($P$33&gt;=40,NOT(ISBLANK($O$10))),$O$10,"")</f>
        <v/>
      </c>
      <c r="P1375" s="521"/>
      <c r="Q1375" s="63"/>
      <c r="R1375" s="545" t="s">
        <v>307</v>
      </c>
      <c r="S1375" s="546"/>
      <c r="T1375" s="547"/>
    </row>
    <row r="1376" spans="1:20" x14ac:dyDescent="0.2">
      <c r="A1376" s="83"/>
      <c r="B1376" s="432" t="s">
        <v>240</v>
      </c>
      <c r="C1376" s="433"/>
      <c r="D1376" s="434"/>
      <c r="E1376" s="435" t="str">
        <f>IF(NOT($N1398=40),"",IF(ISERROR(LOOKUP(40,'Teacher Summary Sheet'!$M$19:$M$181)),"",IF(VLOOKUP(40,'Teacher Summary Sheet'!$M$19:$R$181,2)=0,"",VLOOKUP(40,'Teacher Summary Sheet'!$M$19:$R$181,2))))</f>
        <v/>
      </c>
      <c r="F1376" s="436"/>
      <c r="G1376" s="437"/>
      <c r="H1376" s="438" t="s">
        <v>119</v>
      </c>
      <c r="I1376" s="439"/>
      <c r="J1376" s="102" t="str">
        <f>IF(NOT($N1398=40),"",IF(ISERROR(LOOKUP(40,'Teacher Summary Sheet'!$M$19:$M$181)),"",IF(VLOOKUP(40,'Teacher Summary Sheet'!$M$19:$R$181,6)=0,"",VLOOKUP(40,'Teacher Summary Sheet'!$M$19:$R$181,6))))</f>
        <v/>
      </c>
      <c r="K1376" s="414" t="s">
        <v>179</v>
      </c>
      <c r="L1376" s="419"/>
      <c r="M1376" s="415"/>
      <c r="N1376" s="412" t="str">
        <f>IF(NOT($N1398=40),"",IF(ISERROR(LOOKUP(40,'Teacher Summary Sheet'!$M$19:$M$181)),"",IF('Teacher Summary Sheet'!$F$31=0,"",'Teacher Summary Sheet'!$F$31)))</f>
        <v/>
      </c>
      <c r="O1376" s="440"/>
      <c r="P1376" s="413"/>
      <c r="Q1376" s="63"/>
      <c r="R1376" s="548"/>
      <c r="S1376" s="549"/>
      <c r="T1376" s="550"/>
    </row>
    <row r="1377" spans="1:20" ht="14.25" x14ac:dyDescent="0.2">
      <c r="A1377" s="83"/>
      <c r="B1377" s="410" t="s">
        <v>241</v>
      </c>
      <c r="C1377" s="420"/>
      <c r="D1377" s="411"/>
      <c r="E1377" s="421" t="str">
        <f>IF(NOT($N1398=40),"",IF(ISERROR(LOOKUP(40,'Teacher Summary Sheet'!$M$19:$M$181)),"",IF(VLOOKUP(40,'Teacher Summary Sheet'!$M$19:$R$181,3)=0,"",VLOOKUP(40,'Teacher Summary Sheet'!$M$19:$R$181,3))))</f>
        <v/>
      </c>
      <c r="F1377" s="422"/>
      <c r="G1377" s="422"/>
      <c r="H1377" s="422"/>
      <c r="I1377" s="423"/>
      <c r="J1377" s="414" t="s">
        <v>124</v>
      </c>
      <c r="K1377" s="415"/>
      <c r="L1377" s="424" t="str">
        <f>IF(NOT($N1398=40),"",IF(ISERROR(LOOKUP(40,'Teacher Summary Sheet'!$M$19:$M$181)),"",IF(VLOOKUP(40,'Teacher Summary Sheet'!$M$19:$R$181,4)=0,"",VLOOKUP(40,'Teacher Summary Sheet'!$M$19:$R$181,4))))</f>
        <v/>
      </c>
      <c r="M1377" s="425"/>
      <c r="N1377" s="425"/>
      <c r="O1377" s="425"/>
      <c r="P1377" s="426"/>
      <c r="Q1377" s="63"/>
      <c r="R1377" s="125" t="str">
        <f>IF(NOT(N1398=40),"",IF(COUNTIF(R1379:R1385,"P")=7,"P","O"))</f>
        <v/>
      </c>
      <c r="S1377" s="110" t="str">
        <f>IF(NOT(N1398=40),"",IF(COUNTIF(R1379:R1385,"P")=7,"Complete","Incomplete"))</f>
        <v/>
      </c>
      <c r="T1377" s="111"/>
    </row>
    <row r="1378" spans="1:20" x14ac:dyDescent="0.2">
      <c r="A1378" s="83"/>
      <c r="B1378" s="410" t="s">
        <v>120</v>
      </c>
      <c r="C1378" s="420"/>
      <c r="D1378" s="411"/>
      <c r="E1378" s="427"/>
      <c r="F1378" s="428"/>
      <c r="G1378" s="428"/>
      <c r="H1378" s="428"/>
      <c r="I1378" s="428"/>
      <c r="J1378" s="429"/>
      <c r="K1378" s="62" t="s">
        <v>121</v>
      </c>
      <c r="L1378" s="427"/>
      <c r="M1378" s="428"/>
      <c r="N1378" s="428"/>
      <c r="O1378" s="428"/>
      <c r="P1378" s="429"/>
      <c r="Q1378" s="63"/>
    </row>
    <row r="1379" spans="1:20" ht="14.25" x14ac:dyDescent="0.2">
      <c r="A1379" s="83"/>
      <c r="B1379" s="410" t="s">
        <v>196</v>
      </c>
      <c r="C1379" s="420"/>
      <c r="D1379" s="411"/>
      <c r="E1379" s="427"/>
      <c r="F1379" s="428"/>
      <c r="G1379" s="428"/>
      <c r="H1379" s="428"/>
      <c r="I1379" s="429"/>
      <c r="J1379" s="73" t="s">
        <v>197</v>
      </c>
      <c r="K1379" s="405"/>
      <c r="L1379" s="406"/>
      <c r="M1379" s="414" t="s">
        <v>212</v>
      </c>
      <c r="N1379" s="415"/>
      <c r="O1379" s="405"/>
      <c r="P1379" s="406"/>
      <c r="Q1379" s="63"/>
      <c r="R1379" s="124" t="str">
        <f>IF(NOT(N1398=40),"",IF(OR(COUNTBLANK(E1377:E1377)=1,COUNTBLANK(L1377:L1377)=1),"O","P"))</f>
        <v/>
      </c>
      <c r="S1379" s="108" t="str">
        <f>IF(NOT(N1398=40),"","Candidate Name")</f>
        <v/>
      </c>
      <c r="T1379" s="64"/>
    </row>
    <row r="1380" spans="1:20" ht="14.25" x14ac:dyDescent="0.2">
      <c r="A1380" s="83"/>
      <c r="B1380" s="410" t="s">
        <v>198</v>
      </c>
      <c r="C1380" s="420"/>
      <c r="D1380" s="411"/>
      <c r="E1380" s="454"/>
      <c r="F1380" s="455"/>
      <c r="G1380" s="455"/>
      <c r="H1380" s="456"/>
      <c r="I1380" s="74" t="s">
        <v>199</v>
      </c>
      <c r="J1380" s="427"/>
      <c r="K1380" s="428"/>
      <c r="L1380" s="428"/>
      <c r="M1380" s="428"/>
      <c r="N1380" s="428"/>
      <c r="O1380" s="428"/>
      <c r="P1380" s="429"/>
      <c r="Q1380" s="63"/>
      <c r="R1380" s="124" t="str">
        <f>IF(NOT(N1398=40),"",IF(COUNTBLANK(E1376:E1376)=1,"O","P"))</f>
        <v/>
      </c>
      <c r="S1380" s="108" t="str">
        <f>IF(NOT(N1398=40),"","Candidate ID")</f>
        <v/>
      </c>
      <c r="T1380" s="64"/>
    </row>
    <row r="1381" spans="1:20" ht="14.25" x14ac:dyDescent="0.2">
      <c r="A1381" s="83"/>
      <c r="B1381" s="410" t="s">
        <v>227</v>
      </c>
      <c r="C1381" s="420"/>
      <c r="D1381" s="411"/>
      <c r="E1381" s="75" t="s">
        <v>218</v>
      </c>
      <c r="F1381" s="405"/>
      <c r="G1381" s="448"/>
      <c r="H1381" s="75" t="s">
        <v>138</v>
      </c>
      <c r="I1381" s="449"/>
      <c r="J1381" s="450"/>
      <c r="K1381" s="76" t="s">
        <v>139</v>
      </c>
      <c r="L1381" s="451"/>
      <c r="M1381" s="452"/>
      <c r="N1381" s="76" t="s">
        <v>228</v>
      </c>
      <c r="O1381" s="453" t="str">
        <f ca="1">IF(OR(ISBLANK(L1381),ISBLANK(I1381),ISBLANK(F1381),COUNTBLANK(J1376:J1376)=1),"",IF(DATEDIF(DATE(L1381,VLOOKUP(I1381,data!$T$2:$U$13,2,FALSE),F1381),IF(AND(TODAY()&lt;data!$AJ$12,TODAY()&gt;data!$AI$12),data!$AI$3,data!$AJ$3),"Y")&gt;=data!$AC$42,YEAR(TODAY())-L1381,data!$AD$3))</f>
        <v/>
      </c>
      <c r="P1381" s="413"/>
      <c r="Q1381" s="63"/>
      <c r="R1381" s="124" t="str">
        <f>IF(NOT(N1398=40),"",IF(OR(ISBLANK(E1378),ISBLANK(L1378),ISBLANK(K1379),ISBLANK(O1379)),"O","P"))</f>
        <v/>
      </c>
      <c r="S1381" s="108" t="str">
        <f>IF(NOT(N1398=40),"","Address")</f>
        <v/>
      </c>
      <c r="T1381" s="64"/>
    </row>
    <row r="1382" spans="1:20" ht="15" thickBot="1" x14ac:dyDescent="0.25">
      <c r="A1382" s="83"/>
      <c r="B1382" s="410" t="s">
        <v>214</v>
      </c>
      <c r="C1382" s="411"/>
      <c r="D1382" s="412" t="str">
        <f>IF(NOT($N1398=40),"",IF(ISERROR(LOOKUP(40,'Teacher Summary Sheet'!$M$19:$M$181)),"",IF(VLOOKUP(40,'Teacher Summary Sheet'!$M$19:$R$181,5)=0,"",VLOOKUP(40,'Teacher Summary Sheet'!$M$19:$R$181,5))))</f>
        <v/>
      </c>
      <c r="E1382" s="413"/>
      <c r="F1382" s="414" t="s">
        <v>319</v>
      </c>
      <c r="G1382" s="415"/>
      <c r="H1382" s="416"/>
      <c r="I1382" s="417"/>
      <c r="J1382" s="418"/>
      <c r="K1382" s="414" t="s">
        <v>320</v>
      </c>
      <c r="L1382" s="419"/>
      <c r="M1382" s="419"/>
      <c r="N1382" s="415"/>
      <c r="O1382" s="405" t="s">
        <v>268</v>
      </c>
      <c r="P1382" s="406"/>
      <c r="Q1382" s="63"/>
      <c r="R1382" s="124" t="str">
        <f>IF(NOT(N1398=40),"",IF(OR(ISBLANK(F1381),ISBLANK(I1381),ISBLANK(L1381)),"O","P"))</f>
        <v/>
      </c>
      <c r="S1382" s="108" t="str">
        <f>IF(NOT(N1398=40),"","Date of Birth")</f>
        <v/>
      </c>
      <c r="T1382" s="64"/>
    </row>
    <row r="1383" spans="1:20" ht="14.25" x14ac:dyDescent="0.2">
      <c r="A1383" s="83"/>
      <c r="B1383" s="522" t="s">
        <v>297</v>
      </c>
      <c r="C1383" s="463"/>
      <c r="D1383" s="463"/>
      <c r="E1383" s="463"/>
      <c r="F1383" s="463"/>
      <c r="G1383" s="463"/>
      <c r="H1383" s="463"/>
      <c r="I1383" s="463"/>
      <c r="J1383" s="463"/>
      <c r="K1383" s="463"/>
      <c r="L1383" s="463"/>
      <c r="M1383" s="463"/>
      <c r="N1383" s="463"/>
      <c r="O1383" s="463"/>
      <c r="P1383" s="464"/>
      <c r="Q1383" s="63"/>
      <c r="R1383" s="124" t="str">
        <f>IF(NOT(N1398=40),"",IF(COUNTBLANK(J1376:J1376)=1,"O","P"))</f>
        <v/>
      </c>
      <c r="S1383" s="112" t="str">
        <f>IF(NOT(N1398=40),"","Exam Level")</f>
        <v/>
      </c>
      <c r="T1383" s="64"/>
    </row>
    <row r="1384" spans="1:20" ht="14.25" x14ac:dyDescent="0.2">
      <c r="A1384" s="83"/>
      <c r="B1384" s="465"/>
      <c r="C1384" s="466"/>
      <c r="D1384" s="466"/>
      <c r="E1384" s="466"/>
      <c r="F1384" s="466"/>
      <c r="G1384" s="466"/>
      <c r="H1384" s="466"/>
      <c r="I1384" s="466"/>
      <c r="J1384" s="466"/>
      <c r="K1384" s="466"/>
      <c r="L1384" s="466"/>
      <c r="M1384" s="466"/>
      <c r="N1384" s="466"/>
      <c r="O1384" s="466"/>
      <c r="P1384" s="467"/>
      <c r="Q1384" s="63"/>
      <c r="R1384" s="124" t="str">
        <f>IF(NOT(N1398=40),"",IF(COUNTBLANK(D1382:D1382)=1,"O","P"))</f>
        <v/>
      </c>
      <c r="S1384" s="109" t="str">
        <f>IF(NOT(N1398=40),"","Gender")</f>
        <v/>
      </c>
      <c r="T1384" s="64"/>
    </row>
    <row r="1385" spans="1:20" ht="14.25" x14ac:dyDescent="0.2">
      <c r="A1385" s="83"/>
      <c r="B1385" s="432" t="s">
        <v>298</v>
      </c>
      <c r="C1385" s="433"/>
      <c r="D1385" s="434"/>
      <c r="E1385" s="405"/>
      <c r="F1385" s="406"/>
      <c r="G1385" s="432" t="s">
        <v>299</v>
      </c>
      <c r="H1385" s="433"/>
      <c r="I1385" s="434"/>
      <c r="J1385" s="405"/>
      <c r="K1385" s="448"/>
      <c r="L1385" s="406"/>
      <c r="M1385" s="414" t="s">
        <v>300</v>
      </c>
      <c r="N1385" s="415"/>
      <c r="O1385" s="457"/>
      <c r="P1385" s="458"/>
      <c r="Q1385" s="63"/>
      <c r="R1385" s="124" t="str">
        <f>IF(NOT(N1398=40),"",IF(ISBLANK(H1382),"O","P"))</f>
        <v/>
      </c>
      <c r="S1385" s="109" t="str">
        <f>IF(NOT(N1398=40),"","Height")</f>
        <v/>
      </c>
      <c r="T1385" s="64"/>
    </row>
    <row r="1386" spans="1:20" x14ac:dyDescent="0.2">
      <c r="A1386" s="83"/>
      <c r="B1386" s="77" t="s">
        <v>153</v>
      </c>
      <c r="C1386" s="405"/>
      <c r="D1386" s="406"/>
      <c r="E1386" s="414" t="s">
        <v>301</v>
      </c>
      <c r="F1386" s="415"/>
      <c r="G1386" s="459"/>
      <c r="H1386" s="460"/>
      <c r="I1386" s="461"/>
      <c r="J1386" s="414" t="s">
        <v>302</v>
      </c>
      <c r="K1386" s="415"/>
      <c r="L1386" s="454"/>
      <c r="M1386" s="455"/>
      <c r="N1386" s="455"/>
      <c r="O1386" s="455"/>
      <c r="P1386" s="456"/>
      <c r="Q1386" s="63"/>
      <c r="R1386" s="64"/>
      <c r="S1386" s="64"/>
      <c r="T1386" s="64"/>
    </row>
    <row r="1387" spans="1:20" x14ac:dyDescent="0.2">
      <c r="A1387" s="83"/>
      <c r="B1387" s="410" t="s">
        <v>116</v>
      </c>
      <c r="C1387" s="420"/>
      <c r="D1387" s="420"/>
      <c r="E1387" s="420"/>
      <c r="F1387" s="420"/>
      <c r="G1387" s="420"/>
      <c r="H1387" s="420"/>
      <c r="I1387" s="420"/>
      <c r="J1387" s="420"/>
      <c r="K1387" s="420"/>
      <c r="L1387" s="420"/>
      <c r="M1387" s="420"/>
      <c r="N1387" s="420"/>
      <c r="O1387" s="420"/>
      <c r="P1387" s="411"/>
      <c r="Q1387" s="63"/>
      <c r="R1387" s="64"/>
      <c r="S1387" s="64"/>
      <c r="T1387" s="64"/>
    </row>
    <row r="1388" spans="1:20" x14ac:dyDescent="0.2">
      <c r="A1388" s="83"/>
      <c r="B1388" s="410" t="s">
        <v>298</v>
      </c>
      <c r="C1388" s="420"/>
      <c r="D1388" s="411"/>
      <c r="E1388" s="405"/>
      <c r="F1388" s="406"/>
      <c r="G1388" s="410" t="s">
        <v>299</v>
      </c>
      <c r="H1388" s="420"/>
      <c r="I1388" s="411"/>
      <c r="J1388" s="454"/>
      <c r="K1388" s="455"/>
      <c r="L1388" s="456"/>
      <c r="M1388" s="414" t="s">
        <v>300</v>
      </c>
      <c r="N1388" s="415"/>
      <c r="O1388" s="457"/>
      <c r="P1388" s="458"/>
      <c r="Q1388" s="63"/>
      <c r="R1388" s="64"/>
    </row>
    <row r="1389" spans="1:20" ht="13.5" thickBot="1" x14ac:dyDescent="0.25">
      <c r="A1389" s="83"/>
      <c r="B1389" s="78" t="s">
        <v>153</v>
      </c>
      <c r="C1389" s="492"/>
      <c r="D1389" s="493"/>
      <c r="E1389" s="494" t="s">
        <v>301</v>
      </c>
      <c r="F1389" s="495"/>
      <c r="G1389" s="496"/>
      <c r="H1389" s="497"/>
      <c r="I1389" s="498"/>
      <c r="J1389" s="414" t="s">
        <v>302</v>
      </c>
      <c r="K1389" s="415"/>
      <c r="L1389" s="454"/>
      <c r="M1389" s="455"/>
      <c r="N1389" s="455"/>
      <c r="O1389" s="455"/>
      <c r="P1389" s="456"/>
      <c r="Q1389" s="63"/>
      <c r="R1389" s="64"/>
    </row>
    <row r="1390" spans="1:20" x14ac:dyDescent="0.2">
      <c r="A1390" s="83"/>
      <c r="B1390" s="499" t="s">
        <v>126</v>
      </c>
      <c r="C1390" s="500"/>
      <c r="D1390" s="500"/>
      <c r="E1390" s="500"/>
      <c r="F1390" s="500"/>
      <c r="G1390" s="500"/>
      <c r="H1390" s="500"/>
      <c r="I1390" s="501"/>
      <c r="J1390" s="505"/>
      <c r="K1390" s="506"/>
      <c r="L1390" s="506"/>
      <c r="M1390" s="506"/>
      <c r="N1390" s="506"/>
      <c r="O1390" s="506"/>
      <c r="P1390" s="507"/>
      <c r="Q1390" s="63"/>
      <c r="R1390" s="64"/>
    </row>
    <row r="1391" spans="1:20" x14ac:dyDescent="0.2">
      <c r="A1391" s="83"/>
      <c r="B1391" s="502"/>
      <c r="C1391" s="503"/>
      <c r="D1391" s="503"/>
      <c r="E1391" s="503"/>
      <c r="F1391" s="503"/>
      <c r="G1391" s="503"/>
      <c r="H1391" s="503"/>
      <c r="I1391" s="504"/>
      <c r="J1391" s="508"/>
      <c r="K1391" s="509"/>
      <c r="L1391" s="509"/>
      <c r="M1391" s="509"/>
      <c r="N1391" s="509"/>
      <c r="O1391" s="509"/>
      <c r="P1391" s="510"/>
      <c r="Q1391" s="63"/>
      <c r="R1391" s="64"/>
    </row>
    <row r="1392" spans="1:20" x14ac:dyDescent="0.2">
      <c r="A1392" s="83"/>
      <c r="B1392" s="514" t="s">
        <v>127</v>
      </c>
      <c r="C1392" s="515"/>
      <c r="D1392" s="515"/>
      <c r="E1392" s="515"/>
      <c r="F1392" s="515"/>
      <c r="G1392" s="515"/>
      <c r="H1392" s="515"/>
      <c r="I1392" s="516"/>
      <c r="J1392" s="508"/>
      <c r="K1392" s="509"/>
      <c r="L1392" s="509"/>
      <c r="M1392" s="509"/>
      <c r="N1392" s="509"/>
      <c r="O1392" s="509"/>
      <c r="P1392" s="510"/>
      <c r="Q1392" s="63"/>
      <c r="R1392" s="64"/>
    </row>
    <row r="1393" spans="1:18" ht="13.5" thickBot="1" x14ac:dyDescent="0.25">
      <c r="A1393" s="83"/>
      <c r="B1393" s="517"/>
      <c r="C1393" s="518"/>
      <c r="D1393" s="518"/>
      <c r="E1393" s="518"/>
      <c r="F1393" s="518"/>
      <c r="G1393" s="518"/>
      <c r="H1393" s="518"/>
      <c r="I1393" s="519"/>
      <c r="J1393" s="511"/>
      <c r="K1393" s="512"/>
      <c r="L1393" s="512"/>
      <c r="M1393" s="512"/>
      <c r="N1393" s="512"/>
      <c r="O1393" s="512"/>
      <c r="P1393" s="513"/>
      <c r="Q1393" s="63"/>
      <c r="R1393" s="64"/>
    </row>
    <row r="1394" spans="1:18" x14ac:dyDescent="0.2">
      <c r="A1394" s="83"/>
      <c r="B1394" s="480" t="s">
        <v>10</v>
      </c>
      <c r="C1394" s="481"/>
      <c r="D1394" s="481"/>
      <c r="E1394" s="481"/>
      <c r="F1394" s="481"/>
      <c r="G1394" s="481"/>
      <c r="H1394" s="481"/>
      <c r="I1394" s="482"/>
      <c r="J1394" s="79">
        <v>1</v>
      </c>
      <c r="K1394" s="483"/>
      <c r="L1394" s="484"/>
      <c r="M1394" s="484"/>
      <c r="N1394" s="484"/>
      <c r="O1394" s="484"/>
      <c r="P1394" s="485"/>
      <c r="Q1394" s="63"/>
      <c r="R1394" s="64"/>
    </row>
    <row r="1395" spans="1:18" x14ac:dyDescent="0.2">
      <c r="A1395" s="83"/>
      <c r="B1395" s="486" t="s">
        <v>276</v>
      </c>
      <c r="C1395" s="487"/>
      <c r="D1395" s="487"/>
      <c r="E1395" s="487"/>
      <c r="F1395" s="487"/>
      <c r="G1395" s="487"/>
      <c r="H1395" s="487"/>
      <c r="I1395" s="488"/>
      <c r="J1395" s="80">
        <v>2</v>
      </c>
      <c r="K1395" s="454"/>
      <c r="L1395" s="455"/>
      <c r="M1395" s="455"/>
      <c r="N1395" s="455"/>
      <c r="O1395" s="455"/>
      <c r="P1395" s="456"/>
      <c r="Q1395" s="63"/>
      <c r="R1395" s="64"/>
    </row>
    <row r="1396" spans="1:18" x14ac:dyDescent="0.2">
      <c r="A1396" s="83"/>
      <c r="B1396" s="489" t="s">
        <v>234</v>
      </c>
      <c r="C1396" s="490"/>
      <c r="D1396" s="490"/>
      <c r="E1396" s="490"/>
      <c r="F1396" s="490"/>
      <c r="G1396" s="490"/>
      <c r="H1396" s="490"/>
      <c r="I1396" s="491"/>
      <c r="J1396" s="80">
        <v>3</v>
      </c>
      <c r="K1396" s="454"/>
      <c r="L1396" s="455"/>
      <c r="M1396" s="455"/>
      <c r="N1396" s="455"/>
      <c r="O1396" s="455"/>
      <c r="P1396" s="456"/>
      <c r="Q1396" s="63"/>
      <c r="R1396" s="64"/>
    </row>
    <row r="1397" spans="1:18" x14ac:dyDescent="0.2">
      <c r="A1397" s="83"/>
      <c r="B1397" s="468"/>
      <c r="C1397" s="468"/>
      <c r="D1397" s="468"/>
      <c r="E1397" s="468"/>
      <c r="F1397" s="468"/>
      <c r="G1397" s="468"/>
      <c r="H1397" s="468"/>
      <c r="I1397" s="468"/>
      <c r="J1397" s="468"/>
      <c r="K1397" s="468"/>
      <c r="L1397" s="468"/>
      <c r="M1397" s="468"/>
      <c r="N1397" s="468"/>
      <c r="O1397" s="468"/>
      <c r="P1397" s="468"/>
      <c r="Q1397" s="63"/>
      <c r="R1397" s="64"/>
    </row>
    <row r="1398" spans="1:18" ht="12" customHeight="1" x14ac:dyDescent="0.2">
      <c r="A1398" s="83"/>
      <c r="B1398" s="469" t="s">
        <v>84</v>
      </c>
      <c r="C1398" s="471" t="str">
        <f>IF(CODE(B1398)=89,"This candidate would like to receive Special","This candidate would not like to receive Special")</f>
        <v>This candidate would like to receive Special</v>
      </c>
      <c r="D1398" s="472"/>
      <c r="E1398" s="472"/>
      <c r="F1398" s="472"/>
      <c r="G1398" s="472"/>
      <c r="H1398" s="472"/>
      <c r="I1398" s="473"/>
      <c r="J1398" s="81"/>
      <c r="K1398" s="474" t="s">
        <v>205</v>
      </c>
      <c r="L1398" s="474"/>
      <c r="M1398" s="475"/>
      <c r="N1398" s="51" t="str">
        <f>IF($P$33&gt;=40,40,"")</f>
        <v/>
      </c>
      <c r="O1398" s="62" t="s">
        <v>52</v>
      </c>
      <c r="P1398" s="51" t="str">
        <f>IF($P$33&gt;=40,$P$33,"")</f>
        <v/>
      </c>
      <c r="Q1398" s="63"/>
      <c r="R1398" s="64"/>
    </row>
    <row r="1399" spans="1:18" ht="12" customHeight="1" x14ac:dyDescent="0.2">
      <c r="A1399" s="83"/>
      <c r="B1399" s="470"/>
      <c r="C1399" s="476" t="str">
        <f>IF(CODE(B1398)=89,"Announcements and Bulletins from RAD Canada","Announcements and Bulletins from RAD Canada")</f>
        <v>Announcements and Bulletins from RAD Canada</v>
      </c>
      <c r="D1399" s="477"/>
      <c r="E1399" s="477"/>
      <c r="F1399" s="477"/>
      <c r="G1399" s="477"/>
      <c r="H1399" s="477"/>
      <c r="I1399" s="478"/>
      <c r="J1399" s="479"/>
      <c r="K1399" s="400"/>
      <c r="L1399" s="400"/>
      <c r="M1399" s="400"/>
      <c r="N1399" s="400"/>
      <c r="O1399" s="400"/>
      <c r="P1399" s="400"/>
      <c r="Q1399" s="63"/>
      <c r="R1399" s="64"/>
    </row>
    <row r="1400" spans="1:18" x14ac:dyDescent="0.2">
      <c r="A1400" s="83"/>
      <c r="B1400" s="81"/>
      <c r="C1400" s="81"/>
      <c r="D1400" s="81"/>
      <c r="E1400" s="81"/>
      <c r="F1400" s="81"/>
      <c r="G1400" s="81"/>
      <c r="H1400" s="81"/>
      <c r="I1400" s="81"/>
      <c r="J1400" s="81"/>
      <c r="K1400" s="81"/>
      <c r="L1400" s="81"/>
      <c r="M1400" s="81"/>
      <c r="N1400" s="81"/>
      <c r="O1400" s="81"/>
      <c r="P1400" s="81"/>
      <c r="Q1400" s="63"/>
      <c r="R1400" s="64"/>
    </row>
    <row r="1401" spans="1:18" x14ac:dyDescent="0.2">
      <c r="A1401" s="83"/>
      <c r="B1401" s="62"/>
      <c r="C1401" s="62"/>
      <c r="D1401" s="62"/>
      <c r="E1401" s="62"/>
      <c r="F1401" s="62"/>
      <c r="G1401" s="62"/>
      <c r="H1401" s="62"/>
      <c r="I1401" s="62"/>
      <c r="J1401" s="62"/>
      <c r="K1401" s="62"/>
      <c r="L1401" s="62"/>
      <c r="M1401" s="62"/>
      <c r="N1401" s="62"/>
      <c r="O1401" s="62"/>
      <c r="P1401" s="62"/>
      <c r="Q1401" s="63"/>
      <c r="R1401" s="64"/>
    </row>
    <row r="1402" spans="1:18" x14ac:dyDescent="0.2">
      <c r="A1402" s="83"/>
      <c r="B1402" s="401" t="s">
        <v>233</v>
      </c>
      <c r="C1402" s="402"/>
      <c r="D1402" s="402"/>
      <c r="E1402" s="402"/>
      <c r="F1402" s="402"/>
      <c r="G1402" s="402"/>
      <c r="H1402" s="62"/>
      <c r="I1402" s="62"/>
      <c r="J1402" s="62"/>
      <c r="K1402" s="62"/>
      <c r="L1402" s="62"/>
      <c r="M1402" s="62"/>
      <c r="N1402" s="62"/>
      <c r="O1402" s="62"/>
      <c r="P1402" s="62"/>
      <c r="Q1402" s="63"/>
      <c r="R1402" s="64"/>
    </row>
    <row r="1403" spans="1:18" ht="15.75" x14ac:dyDescent="0.25">
      <c r="A1403" s="83"/>
      <c r="B1403" s="402"/>
      <c r="C1403" s="402"/>
      <c r="D1403" s="402"/>
      <c r="E1403" s="402"/>
      <c r="F1403" s="402"/>
      <c r="G1403" s="402"/>
      <c r="H1403" s="82"/>
      <c r="I1403" s="403"/>
      <c r="J1403" s="403"/>
      <c r="K1403" s="403"/>
      <c r="L1403" s="403"/>
      <c r="M1403" s="403"/>
      <c r="N1403" s="403"/>
      <c r="O1403" s="403"/>
      <c r="P1403" s="403"/>
      <c r="Q1403" s="63"/>
      <c r="R1403" s="64"/>
    </row>
    <row r="1404" spans="1:18" x14ac:dyDescent="0.2">
      <c r="A1404" s="83"/>
      <c r="B1404" s="400"/>
      <c r="C1404" s="400"/>
      <c r="D1404" s="400"/>
      <c r="E1404" s="400"/>
      <c r="F1404" s="400"/>
      <c r="G1404" s="400"/>
      <c r="H1404" s="400"/>
      <c r="I1404" s="400"/>
      <c r="J1404" s="400"/>
      <c r="K1404" s="400"/>
      <c r="L1404" s="400"/>
      <c r="M1404" s="403"/>
      <c r="N1404" s="403"/>
      <c r="O1404" s="403"/>
      <c r="P1404" s="403"/>
      <c r="Q1404" s="63"/>
      <c r="R1404" s="64"/>
    </row>
    <row r="1405" spans="1:18" x14ac:dyDescent="0.2">
      <c r="A1405" s="83"/>
      <c r="B1405" s="404" t="s">
        <v>260</v>
      </c>
      <c r="C1405" s="404"/>
      <c r="D1405" s="404"/>
      <c r="E1405" s="404"/>
      <c r="F1405" s="400"/>
      <c r="G1405" s="400"/>
      <c r="H1405" s="400"/>
      <c r="I1405" s="400"/>
      <c r="J1405" s="400"/>
      <c r="K1405" s="400"/>
      <c r="L1405" s="400"/>
      <c r="M1405" s="403"/>
      <c r="N1405" s="403"/>
      <c r="O1405" s="403"/>
      <c r="P1405" s="403"/>
      <c r="Q1405" s="63"/>
      <c r="R1405" s="64"/>
    </row>
    <row r="1406" spans="1:18" x14ac:dyDescent="0.2">
      <c r="A1406" s="83"/>
      <c r="B1406" s="69"/>
      <c r="C1406" s="324" t="s">
        <v>75</v>
      </c>
      <c r="D1406" s="408"/>
      <c r="E1406" s="409"/>
      <c r="F1406" s="400"/>
      <c r="G1406" s="400"/>
      <c r="H1406" s="400"/>
      <c r="I1406" s="400"/>
      <c r="J1406" s="400"/>
      <c r="K1406" s="400"/>
      <c r="L1406" s="400"/>
      <c r="M1406" s="70"/>
      <c r="N1406" s="70"/>
      <c r="O1406" s="70"/>
      <c r="P1406" s="70"/>
      <c r="Q1406" s="63"/>
      <c r="R1406" s="64"/>
    </row>
    <row r="1407" spans="1:18" x14ac:dyDescent="0.2">
      <c r="A1407" s="83"/>
      <c r="B1407" s="71"/>
      <c r="C1407" s="324" t="s">
        <v>128</v>
      </c>
      <c r="D1407" s="408"/>
      <c r="E1407" s="409"/>
      <c r="F1407" s="400"/>
      <c r="G1407" s="400"/>
      <c r="H1407" s="400"/>
      <c r="I1407" s="400"/>
      <c r="J1407" s="400"/>
      <c r="K1407" s="400"/>
      <c r="L1407" s="400"/>
      <c r="M1407" s="407" t="s">
        <v>256</v>
      </c>
      <c r="N1407" s="407"/>
      <c r="O1407" s="407"/>
      <c r="P1407" s="407"/>
      <c r="Q1407" s="63"/>
      <c r="R1407" s="64"/>
    </row>
    <row r="1408" spans="1:18" x14ac:dyDescent="0.2">
      <c r="A1408" s="83"/>
      <c r="B1408" s="56"/>
      <c r="C1408" s="324" t="s">
        <v>275</v>
      </c>
      <c r="D1408" s="408"/>
      <c r="E1408" s="409"/>
      <c r="F1408" s="400"/>
      <c r="G1408" s="400"/>
      <c r="H1408" s="400"/>
      <c r="I1408" s="400"/>
      <c r="J1408" s="400"/>
      <c r="K1408" s="400"/>
      <c r="L1408" s="400"/>
      <c r="M1408" s="407"/>
      <c r="N1408" s="407"/>
      <c r="O1408" s="407"/>
      <c r="P1408" s="407"/>
      <c r="Q1408" s="63"/>
      <c r="R1408" s="64"/>
    </row>
    <row r="1409" spans="1:20" x14ac:dyDescent="0.2">
      <c r="A1409" s="83"/>
      <c r="B1409" s="520"/>
      <c r="C1409" s="520"/>
      <c r="D1409" s="520"/>
      <c r="E1409" s="520"/>
      <c r="F1409" s="520"/>
      <c r="G1409" s="520"/>
      <c r="H1409" s="520"/>
      <c r="I1409" s="520"/>
      <c r="J1409" s="520"/>
      <c r="K1409" s="520"/>
      <c r="L1409" s="520"/>
      <c r="M1409" s="520"/>
      <c r="N1409" s="520"/>
      <c r="O1409" s="520"/>
      <c r="P1409" s="520"/>
      <c r="Q1409" s="63"/>
      <c r="R1409" s="64"/>
    </row>
    <row r="1410" spans="1:20" x14ac:dyDescent="0.2">
      <c r="A1410" s="83"/>
      <c r="B1410" s="432" t="s">
        <v>117</v>
      </c>
      <c r="C1410" s="433"/>
      <c r="D1410" s="434"/>
      <c r="E1410" s="442" t="str">
        <f>IF(AND($P$33&gt;=41,NOT(ISBLANK($E$10))),$E$10,"")</f>
        <v/>
      </c>
      <c r="F1410" s="443"/>
      <c r="G1410" s="444"/>
      <c r="H1410" s="414" t="s">
        <v>124</v>
      </c>
      <c r="I1410" s="415"/>
      <c r="J1410" s="442" t="str">
        <f>IF(AND($P$33&gt;=41,NOT(ISBLANK($J$10))),$J$10,"")</f>
        <v/>
      </c>
      <c r="K1410" s="443"/>
      <c r="L1410" s="444"/>
      <c r="M1410" s="414" t="s">
        <v>118</v>
      </c>
      <c r="N1410" s="415"/>
      <c r="O1410" s="430" t="str">
        <f>IF(AND($P$33&gt;=41,NOT(ISBLANK($O$10))),$O$10,"")</f>
        <v/>
      </c>
      <c r="P1410" s="521"/>
      <c r="Q1410" s="63"/>
      <c r="R1410" s="545" t="s">
        <v>307</v>
      </c>
      <c r="S1410" s="546"/>
      <c r="T1410" s="547"/>
    </row>
    <row r="1411" spans="1:20" x14ac:dyDescent="0.2">
      <c r="A1411" s="83"/>
      <c r="B1411" s="432" t="s">
        <v>240</v>
      </c>
      <c r="C1411" s="433"/>
      <c r="D1411" s="434"/>
      <c r="E1411" s="435" t="str">
        <f>IF(NOT($N1433=41),"",IF(ISERROR(LOOKUP(41,'Teacher Summary Sheet'!$M$19:$M$181)),"",IF(VLOOKUP(41,'Teacher Summary Sheet'!$M$19:$R$181,2)=0,"",VLOOKUP(41,'Teacher Summary Sheet'!$M$19:$R$181,2))))</f>
        <v/>
      </c>
      <c r="F1411" s="436"/>
      <c r="G1411" s="437"/>
      <c r="H1411" s="438" t="s">
        <v>119</v>
      </c>
      <c r="I1411" s="439"/>
      <c r="J1411" s="102" t="str">
        <f>IF(NOT($N1433=41),"",IF(ISERROR(LOOKUP(41,'Teacher Summary Sheet'!$M$19:$M$181)),"",IF(VLOOKUP(41,'Teacher Summary Sheet'!$M$19:$R$181,6)=0,"",VLOOKUP(41,'Teacher Summary Sheet'!$M$19:$R$181,6))))</f>
        <v/>
      </c>
      <c r="K1411" s="414" t="s">
        <v>179</v>
      </c>
      <c r="L1411" s="419"/>
      <c r="M1411" s="415"/>
      <c r="N1411" s="412" t="str">
        <f>IF(NOT($N1433=41),"",IF(ISERROR(LOOKUP(41,'Teacher Summary Sheet'!$M$19:$M$181)),"",IF('Teacher Summary Sheet'!$F$31=0,"",'Teacher Summary Sheet'!$F$31)))</f>
        <v/>
      </c>
      <c r="O1411" s="440"/>
      <c r="P1411" s="413"/>
      <c r="Q1411" s="63"/>
      <c r="R1411" s="548"/>
      <c r="S1411" s="549"/>
      <c r="T1411" s="550"/>
    </row>
    <row r="1412" spans="1:20" ht="14.25" x14ac:dyDescent="0.2">
      <c r="A1412" s="83"/>
      <c r="B1412" s="410" t="s">
        <v>241</v>
      </c>
      <c r="C1412" s="420"/>
      <c r="D1412" s="411"/>
      <c r="E1412" s="421" t="str">
        <f>IF(NOT($N1433=41),"",IF(ISERROR(LOOKUP(41,'Teacher Summary Sheet'!$M$19:$M$181)),"",IF(VLOOKUP(41,'Teacher Summary Sheet'!$M$19:$R$181,3)=0,"",VLOOKUP(41,'Teacher Summary Sheet'!$M$19:$R$181,3))))</f>
        <v/>
      </c>
      <c r="F1412" s="422"/>
      <c r="G1412" s="422"/>
      <c r="H1412" s="422"/>
      <c r="I1412" s="423"/>
      <c r="J1412" s="414" t="s">
        <v>124</v>
      </c>
      <c r="K1412" s="415"/>
      <c r="L1412" s="424" t="str">
        <f>IF(NOT($N1433=41),"",IF(ISERROR(LOOKUP(41,'Teacher Summary Sheet'!$M$19:$M$181)),"",IF(VLOOKUP(41,'Teacher Summary Sheet'!$M$19:$R$181,4)=0,"",VLOOKUP(41,'Teacher Summary Sheet'!$M$19:$R$181,4))))</f>
        <v/>
      </c>
      <c r="M1412" s="425"/>
      <c r="N1412" s="425"/>
      <c r="O1412" s="425"/>
      <c r="P1412" s="426"/>
      <c r="Q1412" s="63"/>
      <c r="R1412" s="125" t="str">
        <f>IF(NOT(N1433=41),"",IF(COUNTIF(R1414:R1420,"P")=7,"P","O"))</f>
        <v/>
      </c>
      <c r="S1412" s="110" t="str">
        <f>IF(NOT(N1433=41),"",IF(COUNTIF(R1414:R1420,"P")=7,"Complete","Incomplete"))</f>
        <v/>
      </c>
      <c r="T1412" s="111"/>
    </row>
    <row r="1413" spans="1:20" x14ac:dyDescent="0.2">
      <c r="A1413" s="83"/>
      <c r="B1413" s="410" t="s">
        <v>120</v>
      </c>
      <c r="C1413" s="420"/>
      <c r="D1413" s="411"/>
      <c r="E1413" s="427"/>
      <c r="F1413" s="428"/>
      <c r="G1413" s="428"/>
      <c r="H1413" s="428"/>
      <c r="I1413" s="428"/>
      <c r="J1413" s="429"/>
      <c r="K1413" s="62" t="s">
        <v>121</v>
      </c>
      <c r="L1413" s="427"/>
      <c r="M1413" s="428"/>
      <c r="N1413" s="428"/>
      <c r="O1413" s="428"/>
      <c r="P1413" s="429"/>
      <c r="Q1413" s="63"/>
    </row>
    <row r="1414" spans="1:20" ht="14.25" x14ac:dyDescent="0.2">
      <c r="A1414" s="83"/>
      <c r="B1414" s="410" t="s">
        <v>196</v>
      </c>
      <c r="C1414" s="420"/>
      <c r="D1414" s="411"/>
      <c r="E1414" s="427"/>
      <c r="F1414" s="428"/>
      <c r="G1414" s="428"/>
      <c r="H1414" s="428"/>
      <c r="I1414" s="429"/>
      <c r="J1414" s="73" t="s">
        <v>197</v>
      </c>
      <c r="K1414" s="405"/>
      <c r="L1414" s="406"/>
      <c r="M1414" s="414" t="s">
        <v>212</v>
      </c>
      <c r="N1414" s="415"/>
      <c r="O1414" s="405"/>
      <c r="P1414" s="406"/>
      <c r="Q1414" s="63"/>
      <c r="R1414" s="124" t="str">
        <f>IF(NOT(N1433=41),"",IF(OR(COUNTBLANK(E1412:E1412)=1,COUNTBLANK(L1412:L1412)=1),"O","P"))</f>
        <v/>
      </c>
      <c r="S1414" s="108" t="str">
        <f>IF(NOT(N1433=41),"","Candidate Name")</f>
        <v/>
      </c>
      <c r="T1414" s="64"/>
    </row>
    <row r="1415" spans="1:20" ht="14.25" x14ac:dyDescent="0.2">
      <c r="A1415" s="83"/>
      <c r="B1415" s="410" t="s">
        <v>198</v>
      </c>
      <c r="C1415" s="420"/>
      <c r="D1415" s="411"/>
      <c r="E1415" s="454"/>
      <c r="F1415" s="455"/>
      <c r="G1415" s="455"/>
      <c r="H1415" s="456"/>
      <c r="I1415" s="74" t="s">
        <v>199</v>
      </c>
      <c r="J1415" s="427"/>
      <c r="K1415" s="428"/>
      <c r="L1415" s="428"/>
      <c r="M1415" s="428"/>
      <c r="N1415" s="428"/>
      <c r="O1415" s="428"/>
      <c r="P1415" s="429"/>
      <c r="Q1415" s="63"/>
      <c r="R1415" s="124" t="str">
        <f>IF(NOT(N1433=41),"",IF(COUNTBLANK(E1411:E1411)=1,"O","P"))</f>
        <v/>
      </c>
      <c r="S1415" s="108" t="str">
        <f>IF(NOT(N1433=41),"","Candidate ID")</f>
        <v/>
      </c>
      <c r="T1415" s="64"/>
    </row>
    <row r="1416" spans="1:20" ht="14.25" x14ac:dyDescent="0.2">
      <c r="A1416" s="83"/>
      <c r="B1416" s="410" t="s">
        <v>227</v>
      </c>
      <c r="C1416" s="420"/>
      <c r="D1416" s="411"/>
      <c r="E1416" s="75" t="s">
        <v>218</v>
      </c>
      <c r="F1416" s="405"/>
      <c r="G1416" s="448"/>
      <c r="H1416" s="75" t="s">
        <v>138</v>
      </c>
      <c r="I1416" s="449"/>
      <c r="J1416" s="450"/>
      <c r="K1416" s="76" t="s">
        <v>139</v>
      </c>
      <c r="L1416" s="451"/>
      <c r="M1416" s="452"/>
      <c r="N1416" s="76" t="s">
        <v>228</v>
      </c>
      <c r="O1416" s="453" t="str">
        <f ca="1">IF(OR(ISBLANK(L1416),ISBLANK(I1416),ISBLANK(F1416),COUNTBLANK(J1411:J1411)=1),"",IF(DATEDIF(DATE(L1416,VLOOKUP(I1416,data!$T$2:$U$13,2,FALSE),F1416),IF(AND(TODAY()&lt;data!$AJ$12,TODAY()&gt;data!$AI$12),data!$AI$3,data!$AJ$3),"Y")&gt;=data!$AC$43,YEAR(TODAY())-L1416,data!$AD$3))</f>
        <v/>
      </c>
      <c r="P1416" s="413"/>
      <c r="Q1416" s="63"/>
      <c r="R1416" s="124" t="str">
        <f>IF(NOT(N1433=41),"",IF(OR(ISBLANK(E1413),ISBLANK(L1413),ISBLANK(K1414),ISBLANK(O1414)),"O","P"))</f>
        <v/>
      </c>
      <c r="S1416" s="108" t="str">
        <f>IF(NOT(N1433=41),"","Address")</f>
        <v/>
      </c>
      <c r="T1416" s="64"/>
    </row>
    <row r="1417" spans="1:20" ht="15" thickBot="1" x14ac:dyDescent="0.25">
      <c r="A1417" s="83"/>
      <c r="B1417" s="410" t="s">
        <v>214</v>
      </c>
      <c r="C1417" s="411"/>
      <c r="D1417" s="412" t="str">
        <f>IF(NOT($N1433=41),"",IF(ISERROR(LOOKUP(41,'Teacher Summary Sheet'!$M$19:$M$181)),"",IF(VLOOKUP(41,'Teacher Summary Sheet'!$M$19:$R$181,5)=0,"",VLOOKUP(41,'Teacher Summary Sheet'!$M$19:$R$181,5))))</f>
        <v/>
      </c>
      <c r="E1417" s="413"/>
      <c r="F1417" s="414" t="s">
        <v>319</v>
      </c>
      <c r="G1417" s="415"/>
      <c r="H1417" s="416"/>
      <c r="I1417" s="417"/>
      <c r="J1417" s="418"/>
      <c r="K1417" s="414" t="s">
        <v>320</v>
      </c>
      <c r="L1417" s="419"/>
      <c r="M1417" s="419"/>
      <c r="N1417" s="415"/>
      <c r="O1417" s="405" t="s">
        <v>268</v>
      </c>
      <c r="P1417" s="406"/>
      <c r="Q1417" s="63"/>
      <c r="R1417" s="124" t="str">
        <f>IF(NOT(N1433=41),"",IF(OR(ISBLANK(F1416),ISBLANK(I1416),ISBLANK(L1416)),"O","P"))</f>
        <v/>
      </c>
      <c r="S1417" s="108" t="str">
        <f>IF(NOT(N1433=41),"","Date of Birth")</f>
        <v/>
      </c>
      <c r="T1417" s="64"/>
    </row>
    <row r="1418" spans="1:20" ht="14.25" x14ac:dyDescent="0.2">
      <c r="A1418" s="83"/>
      <c r="B1418" s="522" t="s">
        <v>297</v>
      </c>
      <c r="C1418" s="463"/>
      <c r="D1418" s="463"/>
      <c r="E1418" s="463"/>
      <c r="F1418" s="463"/>
      <c r="G1418" s="463"/>
      <c r="H1418" s="463"/>
      <c r="I1418" s="463"/>
      <c r="J1418" s="463"/>
      <c r="K1418" s="463"/>
      <c r="L1418" s="463"/>
      <c r="M1418" s="463"/>
      <c r="N1418" s="463"/>
      <c r="O1418" s="463"/>
      <c r="P1418" s="464"/>
      <c r="Q1418" s="63"/>
      <c r="R1418" s="124" t="str">
        <f>IF(NOT(N1433=41),"",IF(COUNTBLANK(J1411:J1411)=1,"O","P"))</f>
        <v/>
      </c>
      <c r="S1418" s="112" t="str">
        <f>IF(NOT(N1433=41),"","Exam Level")</f>
        <v/>
      </c>
      <c r="T1418" s="64"/>
    </row>
    <row r="1419" spans="1:20" ht="14.25" x14ac:dyDescent="0.2">
      <c r="A1419" s="83"/>
      <c r="B1419" s="465"/>
      <c r="C1419" s="466"/>
      <c r="D1419" s="466"/>
      <c r="E1419" s="466"/>
      <c r="F1419" s="466"/>
      <c r="G1419" s="466"/>
      <c r="H1419" s="466"/>
      <c r="I1419" s="466"/>
      <c r="J1419" s="466"/>
      <c r="K1419" s="466"/>
      <c r="L1419" s="466"/>
      <c r="M1419" s="466"/>
      <c r="N1419" s="466"/>
      <c r="O1419" s="466"/>
      <c r="P1419" s="467"/>
      <c r="Q1419" s="63"/>
      <c r="R1419" s="124" t="str">
        <f>IF(NOT(N1433=41),"",IF(COUNTBLANK(D1417:D1417)=1,"O","P"))</f>
        <v/>
      </c>
      <c r="S1419" s="109" t="str">
        <f>IF(NOT(N1433=41),"","Gender")</f>
        <v/>
      </c>
      <c r="T1419" s="64"/>
    </row>
    <row r="1420" spans="1:20" ht="14.25" x14ac:dyDescent="0.2">
      <c r="A1420" s="83"/>
      <c r="B1420" s="432" t="s">
        <v>298</v>
      </c>
      <c r="C1420" s="433"/>
      <c r="D1420" s="434"/>
      <c r="E1420" s="405"/>
      <c r="F1420" s="406"/>
      <c r="G1420" s="432" t="s">
        <v>299</v>
      </c>
      <c r="H1420" s="433"/>
      <c r="I1420" s="434"/>
      <c r="J1420" s="405"/>
      <c r="K1420" s="448"/>
      <c r="L1420" s="406"/>
      <c r="M1420" s="414" t="s">
        <v>300</v>
      </c>
      <c r="N1420" s="415"/>
      <c r="O1420" s="457"/>
      <c r="P1420" s="458"/>
      <c r="Q1420" s="63"/>
      <c r="R1420" s="124" t="str">
        <f>IF(NOT(N1433=41),"",IF(ISBLANK(H1417),"O","P"))</f>
        <v/>
      </c>
      <c r="S1420" s="109" t="str">
        <f>IF(NOT(N1433=41),"","Height")</f>
        <v/>
      </c>
      <c r="T1420" s="64"/>
    </row>
    <row r="1421" spans="1:20" x14ac:dyDescent="0.2">
      <c r="A1421" s="83"/>
      <c r="B1421" s="77" t="s">
        <v>153</v>
      </c>
      <c r="C1421" s="405"/>
      <c r="D1421" s="406"/>
      <c r="E1421" s="414" t="s">
        <v>301</v>
      </c>
      <c r="F1421" s="415"/>
      <c r="G1421" s="459"/>
      <c r="H1421" s="460"/>
      <c r="I1421" s="461"/>
      <c r="J1421" s="414" t="s">
        <v>302</v>
      </c>
      <c r="K1421" s="415"/>
      <c r="L1421" s="454"/>
      <c r="M1421" s="455"/>
      <c r="N1421" s="455"/>
      <c r="O1421" s="455"/>
      <c r="P1421" s="456"/>
      <c r="Q1421" s="63"/>
      <c r="R1421" s="64"/>
      <c r="S1421" s="64"/>
      <c r="T1421" s="64"/>
    </row>
    <row r="1422" spans="1:20" x14ac:dyDescent="0.2">
      <c r="A1422" s="83"/>
      <c r="B1422" s="410" t="s">
        <v>116</v>
      </c>
      <c r="C1422" s="420"/>
      <c r="D1422" s="420"/>
      <c r="E1422" s="420"/>
      <c r="F1422" s="420"/>
      <c r="G1422" s="420"/>
      <c r="H1422" s="420"/>
      <c r="I1422" s="420"/>
      <c r="J1422" s="420"/>
      <c r="K1422" s="420"/>
      <c r="L1422" s="420"/>
      <c r="M1422" s="420"/>
      <c r="N1422" s="420"/>
      <c r="O1422" s="420"/>
      <c r="P1422" s="411"/>
      <c r="Q1422" s="63"/>
      <c r="R1422" s="64"/>
      <c r="S1422" s="64"/>
      <c r="T1422" s="64"/>
    </row>
    <row r="1423" spans="1:20" x14ac:dyDescent="0.2">
      <c r="A1423" s="83"/>
      <c r="B1423" s="410" t="s">
        <v>298</v>
      </c>
      <c r="C1423" s="420"/>
      <c r="D1423" s="411"/>
      <c r="E1423" s="405"/>
      <c r="F1423" s="406"/>
      <c r="G1423" s="410" t="s">
        <v>299</v>
      </c>
      <c r="H1423" s="420"/>
      <c r="I1423" s="411"/>
      <c r="J1423" s="454"/>
      <c r="K1423" s="455"/>
      <c r="L1423" s="456"/>
      <c r="M1423" s="414" t="s">
        <v>300</v>
      </c>
      <c r="N1423" s="415"/>
      <c r="O1423" s="457"/>
      <c r="P1423" s="458"/>
      <c r="Q1423" s="63"/>
      <c r="R1423" s="64"/>
    </row>
    <row r="1424" spans="1:20" ht="13.5" thickBot="1" x14ac:dyDescent="0.25">
      <c r="A1424" s="83"/>
      <c r="B1424" s="78" t="s">
        <v>153</v>
      </c>
      <c r="C1424" s="492"/>
      <c r="D1424" s="493"/>
      <c r="E1424" s="494" t="s">
        <v>301</v>
      </c>
      <c r="F1424" s="495"/>
      <c r="G1424" s="496"/>
      <c r="H1424" s="497"/>
      <c r="I1424" s="498"/>
      <c r="J1424" s="414" t="s">
        <v>302</v>
      </c>
      <c r="K1424" s="415"/>
      <c r="L1424" s="454"/>
      <c r="M1424" s="455"/>
      <c r="N1424" s="455"/>
      <c r="O1424" s="455"/>
      <c r="P1424" s="456"/>
      <c r="Q1424" s="63"/>
      <c r="R1424" s="64"/>
    </row>
    <row r="1425" spans="1:18" x14ac:dyDescent="0.2">
      <c r="A1425" s="83"/>
      <c r="B1425" s="499" t="s">
        <v>126</v>
      </c>
      <c r="C1425" s="500"/>
      <c r="D1425" s="500"/>
      <c r="E1425" s="500"/>
      <c r="F1425" s="500"/>
      <c r="G1425" s="500"/>
      <c r="H1425" s="500"/>
      <c r="I1425" s="501"/>
      <c r="J1425" s="505"/>
      <c r="K1425" s="506"/>
      <c r="L1425" s="506"/>
      <c r="M1425" s="506"/>
      <c r="N1425" s="506"/>
      <c r="O1425" s="506"/>
      <c r="P1425" s="507"/>
      <c r="Q1425" s="63"/>
      <c r="R1425" s="64"/>
    </row>
    <row r="1426" spans="1:18" x14ac:dyDescent="0.2">
      <c r="A1426" s="83"/>
      <c r="B1426" s="502"/>
      <c r="C1426" s="503"/>
      <c r="D1426" s="503"/>
      <c r="E1426" s="503"/>
      <c r="F1426" s="503"/>
      <c r="G1426" s="503"/>
      <c r="H1426" s="503"/>
      <c r="I1426" s="504"/>
      <c r="J1426" s="508"/>
      <c r="K1426" s="509"/>
      <c r="L1426" s="509"/>
      <c r="M1426" s="509"/>
      <c r="N1426" s="509"/>
      <c r="O1426" s="509"/>
      <c r="P1426" s="510"/>
      <c r="Q1426" s="63"/>
      <c r="R1426" s="64"/>
    </row>
    <row r="1427" spans="1:18" x14ac:dyDescent="0.2">
      <c r="A1427" s="83"/>
      <c r="B1427" s="514" t="s">
        <v>127</v>
      </c>
      <c r="C1427" s="515"/>
      <c r="D1427" s="515"/>
      <c r="E1427" s="515"/>
      <c r="F1427" s="515"/>
      <c r="G1427" s="515"/>
      <c r="H1427" s="515"/>
      <c r="I1427" s="516"/>
      <c r="J1427" s="508"/>
      <c r="K1427" s="509"/>
      <c r="L1427" s="509"/>
      <c r="M1427" s="509"/>
      <c r="N1427" s="509"/>
      <c r="O1427" s="509"/>
      <c r="P1427" s="510"/>
      <c r="Q1427" s="63"/>
      <c r="R1427" s="64"/>
    </row>
    <row r="1428" spans="1:18" ht="13.5" thickBot="1" x14ac:dyDescent="0.25">
      <c r="A1428" s="83"/>
      <c r="B1428" s="517"/>
      <c r="C1428" s="518"/>
      <c r="D1428" s="518"/>
      <c r="E1428" s="518"/>
      <c r="F1428" s="518"/>
      <c r="G1428" s="518"/>
      <c r="H1428" s="518"/>
      <c r="I1428" s="519"/>
      <c r="J1428" s="511"/>
      <c r="K1428" s="512"/>
      <c r="L1428" s="512"/>
      <c r="M1428" s="512"/>
      <c r="N1428" s="512"/>
      <c r="O1428" s="512"/>
      <c r="P1428" s="513"/>
      <c r="Q1428" s="63"/>
      <c r="R1428" s="64"/>
    </row>
    <row r="1429" spans="1:18" x14ac:dyDescent="0.2">
      <c r="A1429" s="83"/>
      <c r="B1429" s="480" t="s">
        <v>10</v>
      </c>
      <c r="C1429" s="481"/>
      <c r="D1429" s="481"/>
      <c r="E1429" s="481"/>
      <c r="F1429" s="481"/>
      <c r="G1429" s="481"/>
      <c r="H1429" s="481"/>
      <c r="I1429" s="482"/>
      <c r="J1429" s="79">
        <v>1</v>
      </c>
      <c r="K1429" s="483"/>
      <c r="L1429" s="484"/>
      <c r="M1429" s="484"/>
      <c r="N1429" s="484"/>
      <c r="O1429" s="484"/>
      <c r="P1429" s="485"/>
      <c r="Q1429" s="63"/>
      <c r="R1429" s="64"/>
    </row>
    <row r="1430" spans="1:18" x14ac:dyDescent="0.2">
      <c r="A1430" s="83"/>
      <c r="B1430" s="486" t="s">
        <v>276</v>
      </c>
      <c r="C1430" s="487"/>
      <c r="D1430" s="487"/>
      <c r="E1430" s="487"/>
      <c r="F1430" s="487"/>
      <c r="G1430" s="487"/>
      <c r="H1430" s="487"/>
      <c r="I1430" s="488"/>
      <c r="J1430" s="80">
        <v>2</v>
      </c>
      <c r="K1430" s="454"/>
      <c r="L1430" s="455"/>
      <c r="M1430" s="455"/>
      <c r="N1430" s="455"/>
      <c r="O1430" s="455"/>
      <c r="P1430" s="456"/>
      <c r="Q1430" s="63"/>
      <c r="R1430" s="64"/>
    </row>
    <row r="1431" spans="1:18" x14ac:dyDescent="0.2">
      <c r="A1431" s="83"/>
      <c r="B1431" s="489" t="s">
        <v>234</v>
      </c>
      <c r="C1431" s="490"/>
      <c r="D1431" s="490"/>
      <c r="E1431" s="490"/>
      <c r="F1431" s="490"/>
      <c r="G1431" s="490"/>
      <c r="H1431" s="490"/>
      <c r="I1431" s="491"/>
      <c r="J1431" s="80">
        <v>3</v>
      </c>
      <c r="K1431" s="454"/>
      <c r="L1431" s="455"/>
      <c r="M1431" s="455"/>
      <c r="N1431" s="455"/>
      <c r="O1431" s="455"/>
      <c r="P1431" s="456"/>
      <c r="Q1431" s="63"/>
      <c r="R1431" s="64"/>
    </row>
    <row r="1432" spans="1:18" x14ac:dyDescent="0.2">
      <c r="A1432" s="83"/>
      <c r="B1432" s="468"/>
      <c r="C1432" s="468"/>
      <c r="D1432" s="468"/>
      <c r="E1432" s="468"/>
      <c r="F1432" s="468"/>
      <c r="G1432" s="468"/>
      <c r="H1432" s="468"/>
      <c r="I1432" s="468"/>
      <c r="J1432" s="468"/>
      <c r="K1432" s="468"/>
      <c r="L1432" s="468"/>
      <c r="M1432" s="468"/>
      <c r="N1432" s="468"/>
      <c r="O1432" s="468"/>
      <c r="P1432" s="468"/>
      <c r="Q1432" s="63"/>
      <c r="R1432" s="64"/>
    </row>
    <row r="1433" spans="1:18" ht="12" customHeight="1" x14ac:dyDescent="0.2">
      <c r="A1433" s="83"/>
      <c r="B1433" s="469" t="s">
        <v>84</v>
      </c>
      <c r="C1433" s="471" t="str">
        <f>IF(CODE(B1433)=89,"This candidate would like to receive Special","This candidate would not like to receive Special")</f>
        <v>This candidate would like to receive Special</v>
      </c>
      <c r="D1433" s="472"/>
      <c r="E1433" s="472"/>
      <c r="F1433" s="472"/>
      <c r="G1433" s="472"/>
      <c r="H1433" s="472"/>
      <c r="I1433" s="473"/>
      <c r="J1433" s="81"/>
      <c r="K1433" s="474" t="s">
        <v>205</v>
      </c>
      <c r="L1433" s="474"/>
      <c r="M1433" s="475"/>
      <c r="N1433" s="51" t="str">
        <f>IF($P$33&gt;=41,41,"")</f>
        <v/>
      </c>
      <c r="O1433" s="62" t="s">
        <v>52</v>
      </c>
      <c r="P1433" s="51" t="str">
        <f>IF($P$33&gt;=41,$P$33,"")</f>
        <v/>
      </c>
      <c r="Q1433" s="63"/>
      <c r="R1433" s="64"/>
    </row>
    <row r="1434" spans="1:18" ht="12" customHeight="1" x14ac:dyDescent="0.2">
      <c r="A1434" s="83"/>
      <c r="B1434" s="470"/>
      <c r="C1434" s="476" t="str">
        <f>IF(CODE(B1433)=89,"Announcements and Bulletins from RAD Canada","Announcements and Bulletins from RAD Canada")</f>
        <v>Announcements and Bulletins from RAD Canada</v>
      </c>
      <c r="D1434" s="477"/>
      <c r="E1434" s="477"/>
      <c r="F1434" s="477"/>
      <c r="G1434" s="477"/>
      <c r="H1434" s="477"/>
      <c r="I1434" s="478"/>
      <c r="J1434" s="479"/>
      <c r="K1434" s="400"/>
      <c r="L1434" s="400"/>
      <c r="M1434" s="400"/>
      <c r="N1434" s="400"/>
      <c r="O1434" s="400"/>
      <c r="P1434" s="400"/>
      <c r="Q1434" s="63"/>
      <c r="R1434" s="64"/>
    </row>
    <row r="1435" spans="1:18" x14ac:dyDescent="0.2">
      <c r="A1435" s="83"/>
      <c r="B1435" s="81"/>
      <c r="C1435" s="81"/>
      <c r="D1435" s="81"/>
      <c r="E1435" s="81"/>
      <c r="F1435" s="81"/>
      <c r="G1435" s="81"/>
      <c r="H1435" s="81"/>
      <c r="I1435" s="81"/>
      <c r="J1435" s="81"/>
      <c r="K1435" s="81"/>
      <c r="L1435" s="81"/>
      <c r="M1435" s="81"/>
      <c r="N1435" s="81"/>
      <c r="O1435" s="81"/>
      <c r="P1435" s="81"/>
      <c r="Q1435" s="63"/>
      <c r="R1435" s="64"/>
    </row>
    <row r="1436" spans="1:18" x14ac:dyDescent="0.2">
      <c r="A1436" s="83"/>
      <c r="B1436" s="62"/>
      <c r="C1436" s="62"/>
      <c r="D1436" s="62"/>
      <c r="E1436" s="62"/>
      <c r="F1436" s="62"/>
      <c r="G1436" s="62"/>
      <c r="H1436" s="62"/>
      <c r="I1436" s="62"/>
      <c r="J1436" s="62"/>
      <c r="K1436" s="62"/>
      <c r="L1436" s="62"/>
      <c r="M1436" s="62"/>
      <c r="N1436" s="62"/>
      <c r="O1436" s="62"/>
      <c r="P1436" s="62"/>
      <c r="Q1436" s="63"/>
      <c r="R1436" s="64"/>
    </row>
    <row r="1437" spans="1:18" x14ac:dyDescent="0.2">
      <c r="A1437" s="83"/>
      <c r="B1437" s="401" t="s">
        <v>233</v>
      </c>
      <c r="C1437" s="402"/>
      <c r="D1437" s="402"/>
      <c r="E1437" s="402"/>
      <c r="F1437" s="402"/>
      <c r="G1437" s="402"/>
      <c r="H1437" s="62"/>
      <c r="I1437" s="62"/>
      <c r="J1437" s="62"/>
      <c r="K1437" s="62"/>
      <c r="L1437" s="62"/>
      <c r="M1437" s="62"/>
      <c r="N1437" s="62"/>
      <c r="O1437" s="62"/>
      <c r="P1437" s="62"/>
      <c r="Q1437" s="63"/>
      <c r="R1437" s="64"/>
    </row>
    <row r="1438" spans="1:18" ht="15.75" x14ac:dyDescent="0.25">
      <c r="A1438" s="83"/>
      <c r="B1438" s="402"/>
      <c r="C1438" s="402"/>
      <c r="D1438" s="402"/>
      <c r="E1438" s="402"/>
      <c r="F1438" s="402"/>
      <c r="G1438" s="402"/>
      <c r="H1438" s="82"/>
      <c r="I1438" s="403"/>
      <c r="J1438" s="403"/>
      <c r="K1438" s="403"/>
      <c r="L1438" s="403"/>
      <c r="M1438" s="403"/>
      <c r="N1438" s="403"/>
      <c r="O1438" s="403"/>
      <c r="P1438" s="403"/>
      <c r="Q1438" s="63"/>
      <c r="R1438" s="64"/>
    </row>
    <row r="1439" spans="1:18" x14ac:dyDescent="0.2">
      <c r="A1439" s="83"/>
      <c r="B1439" s="400"/>
      <c r="C1439" s="400"/>
      <c r="D1439" s="400"/>
      <c r="E1439" s="400"/>
      <c r="F1439" s="400"/>
      <c r="G1439" s="400"/>
      <c r="H1439" s="400"/>
      <c r="I1439" s="400"/>
      <c r="J1439" s="400"/>
      <c r="K1439" s="400"/>
      <c r="L1439" s="400"/>
      <c r="M1439" s="403"/>
      <c r="N1439" s="403"/>
      <c r="O1439" s="403"/>
      <c r="P1439" s="403"/>
      <c r="Q1439" s="63"/>
      <c r="R1439" s="64"/>
    </row>
    <row r="1440" spans="1:18" x14ac:dyDescent="0.2">
      <c r="A1440" s="83"/>
      <c r="B1440" s="404" t="s">
        <v>260</v>
      </c>
      <c r="C1440" s="404"/>
      <c r="D1440" s="404"/>
      <c r="E1440" s="404"/>
      <c r="F1440" s="400"/>
      <c r="G1440" s="400"/>
      <c r="H1440" s="400"/>
      <c r="I1440" s="400"/>
      <c r="J1440" s="400"/>
      <c r="K1440" s="400"/>
      <c r="L1440" s="400"/>
      <c r="M1440" s="403"/>
      <c r="N1440" s="403"/>
      <c r="O1440" s="403"/>
      <c r="P1440" s="403"/>
      <c r="Q1440" s="63"/>
      <c r="R1440" s="64"/>
    </row>
    <row r="1441" spans="1:20" x14ac:dyDescent="0.2">
      <c r="A1441" s="83"/>
      <c r="B1441" s="69"/>
      <c r="C1441" s="324" t="s">
        <v>75</v>
      </c>
      <c r="D1441" s="408"/>
      <c r="E1441" s="409"/>
      <c r="F1441" s="400"/>
      <c r="G1441" s="400"/>
      <c r="H1441" s="400"/>
      <c r="I1441" s="400"/>
      <c r="J1441" s="400"/>
      <c r="K1441" s="400"/>
      <c r="L1441" s="400"/>
      <c r="M1441" s="70"/>
      <c r="N1441" s="70"/>
      <c r="O1441" s="70"/>
      <c r="P1441" s="70"/>
      <c r="Q1441" s="63"/>
      <c r="R1441" s="64"/>
    </row>
    <row r="1442" spans="1:20" x14ac:dyDescent="0.2">
      <c r="A1442" s="83"/>
      <c r="B1442" s="71"/>
      <c r="C1442" s="324" t="s">
        <v>128</v>
      </c>
      <c r="D1442" s="408"/>
      <c r="E1442" s="409"/>
      <c r="F1442" s="400"/>
      <c r="G1442" s="400"/>
      <c r="H1442" s="400"/>
      <c r="I1442" s="400"/>
      <c r="J1442" s="400"/>
      <c r="K1442" s="400"/>
      <c r="L1442" s="400"/>
      <c r="M1442" s="407" t="s">
        <v>256</v>
      </c>
      <c r="N1442" s="407"/>
      <c r="O1442" s="407"/>
      <c r="P1442" s="407"/>
      <c r="Q1442" s="63"/>
      <c r="R1442" s="64"/>
    </row>
    <row r="1443" spans="1:20" x14ac:dyDescent="0.2">
      <c r="A1443" s="83"/>
      <c r="B1443" s="56"/>
      <c r="C1443" s="324" t="s">
        <v>275</v>
      </c>
      <c r="D1443" s="408"/>
      <c r="E1443" s="409"/>
      <c r="F1443" s="400"/>
      <c r="G1443" s="400"/>
      <c r="H1443" s="400"/>
      <c r="I1443" s="400"/>
      <c r="J1443" s="400"/>
      <c r="K1443" s="400"/>
      <c r="L1443" s="400"/>
      <c r="M1443" s="407"/>
      <c r="N1443" s="407"/>
      <c r="O1443" s="407"/>
      <c r="P1443" s="407"/>
      <c r="Q1443" s="63"/>
      <c r="R1443" s="64"/>
    </row>
    <row r="1444" spans="1:20" x14ac:dyDescent="0.2">
      <c r="A1444" s="83"/>
      <c r="B1444" s="520"/>
      <c r="C1444" s="520"/>
      <c r="D1444" s="520"/>
      <c r="E1444" s="520"/>
      <c r="F1444" s="520"/>
      <c r="G1444" s="520"/>
      <c r="H1444" s="520"/>
      <c r="I1444" s="520"/>
      <c r="J1444" s="520"/>
      <c r="K1444" s="520"/>
      <c r="L1444" s="520"/>
      <c r="M1444" s="520"/>
      <c r="N1444" s="520"/>
      <c r="O1444" s="520"/>
      <c r="P1444" s="520"/>
      <c r="Q1444" s="63"/>
      <c r="R1444" s="64"/>
    </row>
    <row r="1445" spans="1:20" x14ac:dyDescent="0.2">
      <c r="A1445" s="83"/>
      <c r="B1445" s="432" t="s">
        <v>117</v>
      </c>
      <c r="C1445" s="433"/>
      <c r="D1445" s="434"/>
      <c r="E1445" s="442" t="str">
        <f>IF(AND($P$33&gt;=42,NOT(ISBLANK($E$10))),$E$10,"")</f>
        <v/>
      </c>
      <c r="F1445" s="443"/>
      <c r="G1445" s="444"/>
      <c r="H1445" s="414" t="s">
        <v>124</v>
      </c>
      <c r="I1445" s="415"/>
      <c r="J1445" s="442" t="str">
        <f>IF(AND($P$33&gt;=42,NOT(ISBLANK($J$10))),$J$10,"")</f>
        <v/>
      </c>
      <c r="K1445" s="443"/>
      <c r="L1445" s="444"/>
      <c r="M1445" s="414" t="s">
        <v>118</v>
      </c>
      <c r="N1445" s="415"/>
      <c r="O1445" s="430" t="str">
        <f>IF(AND($P$33&gt;=42,NOT(ISBLANK($O$10))),$O$10,"")</f>
        <v/>
      </c>
      <c r="P1445" s="521"/>
      <c r="Q1445" s="63"/>
      <c r="R1445" s="545" t="s">
        <v>307</v>
      </c>
      <c r="S1445" s="546"/>
      <c r="T1445" s="547"/>
    </row>
    <row r="1446" spans="1:20" x14ac:dyDescent="0.2">
      <c r="A1446" s="83"/>
      <c r="B1446" s="432" t="s">
        <v>240</v>
      </c>
      <c r="C1446" s="433"/>
      <c r="D1446" s="434"/>
      <c r="E1446" s="435" t="str">
        <f>IF(NOT($N1468=42),"",IF(ISERROR(LOOKUP(42,'Teacher Summary Sheet'!$M$19:$M$181)),"",IF(VLOOKUP(42,'Teacher Summary Sheet'!$M$19:$R$181,2)=0,"",VLOOKUP(42,'Teacher Summary Sheet'!$M$19:$R$181,2))))</f>
        <v/>
      </c>
      <c r="F1446" s="436"/>
      <c r="G1446" s="437"/>
      <c r="H1446" s="438" t="s">
        <v>119</v>
      </c>
      <c r="I1446" s="439"/>
      <c r="J1446" s="102" t="str">
        <f>IF(NOT($N1468=42),"",IF(ISERROR(LOOKUP(42,'Teacher Summary Sheet'!$M$19:$M$181)),"",IF(VLOOKUP(42,'Teacher Summary Sheet'!$M$19:$R$181,6)=0,"",VLOOKUP(42,'Teacher Summary Sheet'!$M$19:$R$181,6))))</f>
        <v/>
      </c>
      <c r="K1446" s="414" t="s">
        <v>179</v>
      </c>
      <c r="L1446" s="419"/>
      <c r="M1446" s="415"/>
      <c r="N1446" s="412" t="str">
        <f>IF(NOT($N1468=42),"",IF(ISERROR(LOOKUP(42,'Teacher Summary Sheet'!$M$19:$M$181)),"",IF('Teacher Summary Sheet'!$F$31=0,"",'Teacher Summary Sheet'!$F$31)))</f>
        <v/>
      </c>
      <c r="O1446" s="440"/>
      <c r="P1446" s="413"/>
      <c r="Q1446" s="63"/>
      <c r="R1446" s="548"/>
      <c r="S1446" s="549"/>
      <c r="T1446" s="550"/>
    </row>
    <row r="1447" spans="1:20" ht="14.25" x14ac:dyDescent="0.2">
      <c r="A1447" s="83"/>
      <c r="B1447" s="410" t="s">
        <v>241</v>
      </c>
      <c r="C1447" s="420"/>
      <c r="D1447" s="411"/>
      <c r="E1447" s="421" t="str">
        <f>IF(NOT($N1468=42),"",IF(ISERROR(LOOKUP(42,'Teacher Summary Sheet'!$M$19:$M$181)),"",IF(VLOOKUP(42,'Teacher Summary Sheet'!$M$19:$R$181,3)=0,"",VLOOKUP(42,'Teacher Summary Sheet'!$M$19:$R$181,3))))</f>
        <v/>
      </c>
      <c r="F1447" s="422"/>
      <c r="G1447" s="422"/>
      <c r="H1447" s="422"/>
      <c r="I1447" s="423"/>
      <c r="J1447" s="414" t="s">
        <v>124</v>
      </c>
      <c r="K1447" s="415"/>
      <c r="L1447" s="424" t="str">
        <f>IF(NOT($N1468=42),"",IF(ISERROR(LOOKUP(42,'Teacher Summary Sheet'!$M$19:$M$181)),"",IF(VLOOKUP(42,'Teacher Summary Sheet'!$M$19:$R$181,4)=0,"",VLOOKUP(42,'Teacher Summary Sheet'!$M$19:$R$181,4))))</f>
        <v/>
      </c>
      <c r="M1447" s="425"/>
      <c r="N1447" s="425"/>
      <c r="O1447" s="425"/>
      <c r="P1447" s="426"/>
      <c r="Q1447" s="63"/>
      <c r="R1447" s="125" t="str">
        <f>IF(NOT(N1468=42),"",IF(COUNTIF(R1449:R1455,"P")=7,"P","O"))</f>
        <v/>
      </c>
      <c r="S1447" s="110" t="str">
        <f>IF(NOT(N1468=42),"",IF(COUNTIF(R1449:R1455,"P")=7,"Complete","Incomplete"))</f>
        <v/>
      </c>
      <c r="T1447" s="111"/>
    </row>
    <row r="1448" spans="1:20" x14ac:dyDescent="0.2">
      <c r="A1448" s="83"/>
      <c r="B1448" s="410" t="s">
        <v>120</v>
      </c>
      <c r="C1448" s="420"/>
      <c r="D1448" s="411"/>
      <c r="E1448" s="427"/>
      <c r="F1448" s="428"/>
      <c r="G1448" s="428"/>
      <c r="H1448" s="428"/>
      <c r="I1448" s="428"/>
      <c r="J1448" s="429"/>
      <c r="K1448" s="62" t="s">
        <v>121</v>
      </c>
      <c r="L1448" s="427"/>
      <c r="M1448" s="428"/>
      <c r="N1448" s="428"/>
      <c r="O1448" s="428"/>
      <c r="P1448" s="429"/>
      <c r="Q1448" s="63"/>
    </row>
    <row r="1449" spans="1:20" ht="14.25" x14ac:dyDescent="0.2">
      <c r="A1449" s="83"/>
      <c r="B1449" s="410" t="s">
        <v>196</v>
      </c>
      <c r="C1449" s="420"/>
      <c r="D1449" s="411"/>
      <c r="E1449" s="427"/>
      <c r="F1449" s="428"/>
      <c r="G1449" s="428"/>
      <c r="H1449" s="428"/>
      <c r="I1449" s="429"/>
      <c r="J1449" s="73" t="s">
        <v>197</v>
      </c>
      <c r="K1449" s="405"/>
      <c r="L1449" s="406"/>
      <c r="M1449" s="414" t="s">
        <v>212</v>
      </c>
      <c r="N1449" s="415"/>
      <c r="O1449" s="405"/>
      <c r="P1449" s="406"/>
      <c r="Q1449" s="63"/>
      <c r="R1449" s="124" t="str">
        <f>IF(NOT(N1468=42),"",IF(OR(COUNTBLANK(E1447:E1447)=1,COUNTBLANK(L1447:L1447)=1),"O","P"))</f>
        <v/>
      </c>
      <c r="S1449" s="108" t="str">
        <f>IF(NOT(N1468=42),"","Candidate Name")</f>
        <v/>
      </c>
      <c r="T1449" s="64"/>
    </row>
    <row r="1450" spans="1:20" ht="14.25" x14ac:dyDescent="0.2">
      <c r="A1450" s="83"/>
      <c r="B1450" s="410" t="s">
        <v>198</v>
      </c>
      <c r="C1450" s="420"/>
      <c r="D1450" s="411"/>
      <c r="E1450" s="454"/>
      <c r="F1450" s="455"/>
      <c r="G1450" s="455"/>
      <c r="H1450" s="456"/>
      <c r="I1450" s="74" t="s">
        <v>199</v>
      </c>
      <c r="J1450" s="427"/>
      <c r="K1450" s="428"/>
      <c r="L1450" s="428"/>
      <c r="M1450" s="428"/>
      <c r="N1450" s="428"/>
      <c r="O1450" s="428"/>
      <c r="P1450" s="429"/>
      <c r="Q1450" s="63"/>
      <c r="R1450" s="124" t="str">
        <f>IF(NOT(N1468=42),"",IF(COUNTBLANK(E1446:E1446)=1,"O","P"))</f>
        <v/>
      </c>
      <c r="S1450" s="108" t="str">
        <f>IF(NOT(N1468=42),"","Candidate ID")</f>
        <v/>
      </c>
      <c r="T1450" s="64"/>
    </row>
    <row r="1451" spans="1:20" ht="14.25" x14ac:dyDescent="0.2">
      <c r="A1451" s="83"/>
      <c r="B1451" s="410" t="s">
        <v>227</v>
      </c>
      <c r="C1451" s="420"/>
      <c r="D1451" s="411"/>
      <c r="E1451" s="75" t="s">
        <v>218</v>
      </c>
      <c r="F1451" s="405"/>
      <c r="G1451" s="448"/>
      <c r="H1451" s="75" t="s">
        <v>138</v>
      </c>
      <c r="I1451" s="449"/>
      <c r="J1451" s="450"/>
      <c r="K1451" s="76" t="s">
        <v>139</v>
      </c>
      <c r="L1451" s="451"/>
      <c r="M1451" s="452"/>
      <c r="N1451" s="76" t="s">
        <v>228</v>
      </c>
      <c r="O1451" s="453" t="str">
        <f ca="1">IF(OR(ISBLANK(L1451),ISBLANK(I1451),ISBLANK(F1451),COUNTBLANK(J1446:J1446)=1),"",IF(DATEDIF(DATE(L1451,VLOOKUP(I1451,data!$T$2:$U$13,2,FALSE),F1451),IF(AND(TODAY()&lt;data!$AJ$12,TODAY()&gt;data!$AI$12),data!$AI$3,data!$AJ$3),"Y")&gt;=data!$AC$44,YEAR(TODAY())-L1451,data!$AD$3))</f>
        <v/>
      </c>
      <c r="P1451" s="413"/>
      <c r="Q1451" s="63"/>
      <c r="R1451" s="124" t="str">
        <f>IF(NOT(N1468=42),"",IF(OR(ISBLANK(E1448),ISBLANK(L1448),ISBLANK(K1449),ISBLANK(O1449)),"O","P"))</f>
        <v/>
      </c>
      <c r="S1451" s="108" t="str">
        <f>IF(NOT(N1468=42),"","Address")</f>
        <v/>
      </c>
      <c r="T1451" s="64"/>
    </row>
    <row r="1452" spans="1:20" ht="15" thickBot="1" x14ac:dyDescent="0.25">
      <c r="A1452" s="83"/>
      <c r="B1452" s="410" t="s">
        <v>214</v>
      </c>
      <c r="C1452" s="411"/>
      <c r="D1452" s="412" t="str">
        <f>IF(NOT($N1468=42),"",IF(ISERROR(LOOKUP(42,'Teacher Summary Sheet'!$M$19:$M$181)),"",IF(VLOOKUP(42,'Teacher Summary Sheet'!$M$19:$R$181,5)=0,"",VLOOKUP(42,'Teacher Summary Sheet'!$M$19:$R$181,5))))</f>
        <v/>
      </c>
      <c r="E1452" s="413"/>
      <c r="F1452" s="414" t="s">
        <v>319</v>
      </c>
      <c r="G1452" s="415"/>
      <c r="H1452" s="416"/>
      <c r="I1452" s="417"/>
      <c r="J1452" s="418"/>
      <c r="K1452" s="414" t="s">
        <v>320</v>
      </c>
      <c r="L1452" s="419"/>
      <c r="M1452" s="419"/>
      <c r="N1452" s="415"/>
      <c r="O1452" s="405" t="s">
        <v>268</v>
      </c>
      <c r="P1452" s="406"/>
      <c r="Q1452" s="63"/>
      <c r="R1452" s="124" t="str">
        <f>IF(NOT(N1468=42),"",IF(OR(ISBLANK(F1451),ISBLANK(I1451),ISBLANK(L1451)),"O","P"))</f>
        <v/>
      </c>
      <c r="S1452" s="108" t="str">
        <f>IF(NOT(N1468=42),"","Date of Birth")</f>
        <v/>
      </c>
      <c r="T1452" s="64"/>
    </row>
    <row r="1453" spans="1:20" ht="14.25" x14ac:dyDescent="0.2">
      <c r="A1453" s="83"/>
      <c r="B1453" s="522" t="s">
        <v>297</v>
      </c>
      <c r="C1453" s="463"/>
      <c r="D1453" s="463"/>
      <c r="E1453" s="463"/>
      <c r="F1453" s="463"/>
      <c r="G1453" s="463"/>
      <c r="H1453" s="463"/>
      <c r="I1453" s="463"/>
      <c r="J1453" s="463"/>
      <c r="K1453" s="463"/>
      <c r="L1453" s="463"/>
      <c r="M1453" s="463"/>
      <c r="N1453" s="463"/>
      <c r="O1453" s="463"/>
      <c r="P1453" s="464"/>
      <c r="Q1453" s="63"/>
      <c r="R1453" s="124" t="str">
        <f>IF(NOT(N1468=42),"",IF(COUNTBLANK(J1446:J1446)=1,"O","P"))</f>
        <v/>
      </c>
      <c r="S1453" s="112" t="str">
        <f>IF(NOT(N1468=42),"","Exam Level")</f>
        <v/>
      </c>
      <c r="T1453" s="64"/>
    </row>
    <row r="1454" spans="1:20" ht="14.25" x14ac:dyDescent="0.2">
      <c r="A1454" s="83"/>
      <c r="B1454" s="465"/>
      <c r="C1454" s="466"/>
      <c r="D1454" s="466"/>
      <c r="E1454" s="466"/>
      <c r="F1454" s="466"/>
      <c r="G1454" s="466"/>
      <c r="H1454" s="466"/>
      <c r="I1454" s="466"/>
      <c r="J1454" s="466"/>
      <c r="K1454" s="466"/>
      <c r="L1454" s="466"/>
      <c r="M1454" s="466"/>
      <c r="N1454" s="466"/>
      <c r="O1454" s="466"/>
      <c r="P1454" s="467"/>
      <c r="Q1454" s="63"/>
      <c r="R1454" s="124" t="str">
        <f>IF(NOT(N1468=42),"",IF(COUNTBLANK(D1452:D1452)=1,"O","P"))</f>
        <v/>
      </c>
      <c r="S1454" s="109" t="str">
        <f>IF(NOT(N1468=42),"","Gender")</f>
        <v/>
      </c>
      <c r="T1454" s="64"/>
    </row>
    <row r="1455" spans="1:20" ht="14.25" x14ac:dyDescent="0.2">
      <c r="A1455" s="83"/>
      <c r="B1455" s="432" t="s">
        <v>298</v>
      </c>
      <c r="C1455" s="433"/>
      <c r="D1455" s="434"/>
      <c r="E1455" s="405"/>
      <c r="F1455" s="406"/>
      <c r="G1455" s="432" t="s">
        <v>299</v>
      </c>
      <c r="H1455" s="433"/>
      <c r="I1455" s="434"/>
      <c r="J1455" s="405"/>
      <c r="K1455" s="448"/>
      <c r="L1455" s="406"/>
      <c r="M1455" s="414" t="s">
        <v>300</v>
      </c>
      <c r="N1455" s="415"/>
      <c r="O1455" s="457"/>
      <c r="P1455" s="458"/>
      <c r="Q1455" s="63"/>
      <c r="R1455" s="124" t="str">
        <f>IF(NOT(N1468=42),"",IF(ISBLANK(H1452),"O","P"))</f>
        <v/>
      </c>
      <c r="S1455" s="109" t="str">
        <f>IF(NOT(N1468=42),"","Height")</f>
        <v/>
      </c>
      <c r="T1455" s="64"/>
    </row>
    <row r="1456" spans="1:20" x14ac:dyDescent="0.2">
      <c r="A1456" s="83"/>
      <c r="B1456" s="77" t="s">
        <v>153</v>
      </c>
      <c r="C1456" s="405"/>
      <c r="D1456" s="406"/>
      <c r="E1456" s="414" t="s">
        <v>301</v>
      </c>
      <c r="F1456" s="415"/>
      <c r="G1456" s="459"/>
      <c r="H1456" s="460"/>
      <c r="I1456" s="461"/>
      <c r="J1456" s="414" t="s">
        <v>302</v>
      </c>
      <c r="K1456" s="415"/>
      <c r="L1456" s="454"/>
      <c r="M1456" s="455"/>
      <c r="N1456" s="455"/>
      <c r="O1456" s="455"/>
      <c r="P1456" s="456"/>
      <c r="Q1456" s="63"/>
      <c r="R1456" s="64"/>
      <c r="S1456" s="64"/>
      <c r="T1456" s="64"/>
    </row>
    <row r="1457" spans="1:20" x14ac:dyDescent="0.2">
      <c r="A1457" s="83"/>
      <c r="B1457" s="410" t="s">
        <v>116</v>
      </c>
      <c r="C1457" s="420"/>
      <c r="D1457" s="420"/>
      <c r="E1457" s="420"/>
      <c r="F1457" s="420"/>
      <c r="G1457" s="420"/>
      <c r="H1457" s="420"/>
      <c r="I1457" s="420"/>
      <c r="J1457" s="420"/>
      <c r="K1457" s="420"/>
      <c r="L1457" s="420"/>
      <c r="M1457" s="420"/>
      <c r="N1457" s="420"/>
      <c r="O1457" s="420"/>
      <c r="P1457" s="411"/>
      <c r="Q1457" s="63"/>
      <c r="R1457" s="64"/>
      <c r="S1457" s="64"/>
      <c r="T1457" s="64"/>
    </row>
    <row r="1458" spans="1:20" x14ac:dyDescent="0.2">
      <c r="A1458" s="83"/>
      <c r="B1458" s="410" t="s">
        <v>298</v>
      </c>
      <c r="C1458" s="420"/>
      <c r="D1458" s="411"/>
      <c r="E1458" s="405"/>
      <c r="F1458" s="406"/>
      <c r="G1458" s="410" t="s">
        <v>299</v>
      </c>
      <c r="H1458" s="420"/>
      <c r="I1458" s="411"/>
      <c r="J1458" s="454"/>
      <c r="K1458" s="455"/>
      <c r="L1458" s="456"/>
      <c r="M1458" s="414" t="s">
        <v>300</v>
      </c>
      <c r="N1458" s="415"/>
      <c r="O1458" s="457"/>
      <c r="P1458" s="458"/>
      <c r="Q1458" s="63"/>
      <c r="R1458" s="64"/>
    </row>
    <row r="1459" spans="1:20" ht="13.5" thickBot="1" x14ac:dyDescent="0.25">
      <c r="A1459" s="83"/>
      <c r="B1459" s="78" t="s">
        <v>153</v>
      </c>
      <c r="C1459" s="492"/>
      <c r="D1459" s="493"/>
      <c r="E1459" s="494" t="s">
        <v>301</v>
      </c>
      <c r="F1459" s="495"/>
      <c r="G1459" s="496"/>
      <c r="H1459" s="497"/>
      <c r="I1459" s="498"/>
      <c r="J1459" s="414" t="s">
        <v>302</v>
      </c>
      <c r="K1459" s="415"/>
      <c r="L1459" s="454"/>
      <c r="M1459" s="455"/>
      <c r="N1459" s="455"/>
      <c r="O1459" s="455"/>
      <c r="P1459" s="456"/>
      <c r="Q1459" s="63"/>
      <c r="R1459" s="64"/>
    </row>
    <row r="1460" spans="1:20" x14ac:dyDescent="0.2">
      <c r="A1460" s="83"/>
      <c r="B1460" s="499" t="s">
        <v>126</v>
      </c>
      <c r="C1460" s="500"/>
      <c r="D1460" s="500"/>
      <c r="E1460" s="500"/>
      <c r="F1460" s="500"/>
      <c r="G1460" s="500"/>
      <c r="H1460" s="500"/>
      <c r="I1460" s="501"/>
      <c r="J1460" s="505"/>
      <c r="K1460" s="506"/>
      <c r="L1460" s="506"/>
      <c r="M1460" s="506"/>
      <c r="N1460" s="506"/>
      <c r="O1460" s="506"/>
      <c r="P1460" s="507"/>
      <c r="Q1460" s="63"/>
      <c r="R1460" s="64"/>
    </row>
    <row r="1461" spans="1:20" x14ac:dyDescent="0.2">
      <c r="A1461" s="83"/>
      <c r="B1461" s="502"/>
      <c r="C1461" s="503"/>
      <c r="D1461" s="503"/>
      <c r="E1461" s="503"/>
      <c r="F1461" s="503"/>
      <c r="G1461" s="503"/>
      <c r="H1461" s="503"/>
      <c r="I1461" s="504"/>
      <c r="J1461" s="508"/>
      <c r="K1461" s="509"/>
      <c r="L1461" s="509"/>
      <c r="M1461" s="509"/>
      <c r="N1461" s="509"/>
      <c r="O1461" s="509"/>
      <c r="P1461" s="510"/>
      <c r="Q1461" s="63"/>
      <c r="R1461" s="64"/>
    </row>
    <row r="1462" spans="1:20" x14ac:dyDescent="0.2">
      <c r="A1462" s="83"/>
      <c r="B1462" s="514" t="s">
        <v>127</v>
      </c>
      <c r="C1462" s="515"/>
      <c r="D1462" s="515"/>
      <c r="E1462" s="515"/>
      <c r="F1462" s="515"/>
      <c r="G1462" s="515"/>
      <c r="H1462" s="515"/>
      <c r="I1462" s="516"/>
      <c r="J1462" s="508"/>
      <c r="K1462" s="509"/>
      <c r="L1462" s="509"/>
      <c r="M1462" s="509"/>
      <c r="N1462" s="509"/>
      <c r="O1462" s="509"/>
      <c r="P1462" s="510"/>
      <c r="Q1462" s="63"/>
      <c r="R1462" s="64"/>
    </row>
    <row r="1463" spans="1:20" ht="13.5" thickBot="1" x14ac:dyDescent="0.25">
      <c r="A1463" s="83"/>
      <c r="B1463" s="517"/>
      <c r="C1463" s="518"/>
      <c r="D1463" s="518"/>
      <c r="E1463" s="518"/>
      <c r="F1463" s="518"/>
      <c r="G1463" s="518"/>
      <c r="H1463" s="518"/>
      <c r="I1463" s="519"/>
      <c r="J1463" s="511"/>
      <c r="K1463" s="512"/>
      <c r="L1463" s="512"/>
      <c r="M1463" s="512"/>
      <c r="N1463" s="512"/>
      <c r="O1463" s="512"/>
      <c r="P1463" s="513"/>
      <c r="Q1463" s="63"/>
      <c r="R1463" s="64"/>
    </row>
    <row r="1464" spans="1:20" x14ac:dyDescent="0.2">
      <c r="A1464" s="83"/>
      <c r="B1464" s="480" t="s">
        <v>10</v>
      </c>
      <c r="C1464" s="481"/>
      <c r="D1464" s="481"/>
      <c r="E1464" s="481"/>
      <c r="F1464" s="481"/>
      <c r="G1464" s="481"/>
      <c r="H1464" s="481"/>
      <c r="I1464" s="482"/>
      <c r="J1464" s="79">
        <v>1</v>
      </c>
      <c r="K1464" s="483"/>
      <c r="L1464" s="484"/>
      <c r="M1464" s="484"/>
      <c r="N1464" s="484"/>
      <c r="O1464" s="484"/>
      <c r="P1464" s="485"/>
      <c r="Q1464" s="63"/>
      <c r="R1464" s="64"/>
    </row>
    <row r="1465" spans="1:20" x14ac:dyDescent="0.2">
      <c r="A1465" s="83"/>
      <c r="B1465" s="486" t="s">
        <v>276</v>
      </c>
      <c r="C1465" s="487"/>
      <c r="D1465" s="487"/>
      <c r="E1465" s="487"/>
      <c r="F1465" s="487"/>
      <c r="G1465" s="487"/>
      <c r="H1465" s="487"/>
      <c r="I1465" s="488"/>
      <c r="J1465" s="80">
        <v>2</v>
      </c>
      <c r="K1465" s="454"/>
      <c r="L1465" s="455"/>
      <c r="M1465" s="455"/>
      <c r="N1465" s="455"/>
      <c r="O1465" s="455"/>
      <c r="P1465" s="456"/>
      <c r="Q1465" s="63"/>
      <c r="R1465" s="64"/>
    </row>
    <row r="1466" spans="1:20" x14ac:dyDescent="0.2">
      <c r="A1466" s="83"/>
      <c r="B1466" s="489" t="s">
        <v>234</v>
      </c>
      <c r="C1466" s="490"/>
      <c r="D1466" s="490"/>
      <c r="E1466" s="490"/>
      <c r="F1466" s="490"/>
      <c r="G1466" s="490"/>
      <c r="H1466" s="490"/>
      <c r="I1466" s="491"/>
      <c r="J1466" s="80">
        <v>3</v>
      </c>
      <c r="K1466" s="454"/>
      <c r="L1466" s="455"/>
      <c r="M1466" s="455"/>
      <c r="N1466" s="455"/>
      <c r="O1466" s="455"/>
      <c r="P1466" s="456"/>
      <c r="Q1466" s="63"/>
      <c r="R1466" s="64"/>
    </row>
    <row r="1467" spans="1:20" x14ac:dyDescent="0.2">
      <c r="A1467" s="83"/>
      <c r="B1467" s="468"/>
      <c r="C1467" s="468"/>
      <c r="D1467" s="468"/>
      <c r="E1467" s="468"/>
      <c r="F1467" s="468"/>
      <c r="G1467" s="468"/>
      <c r="H1467" s="468"/>
      <c r="I1467" s="468"/>
      <c r="J1467" s="468"/>
      <c r="K1467" s="468"/>
      <c r="L1467" s="468"/>
      <c r="M1467" s="468"/>
      <c r="N1467" s="468"/>
      <c r="O1467" s="468"/>
      <c r="P1467" s="468"/>
      <c r="Q1467" s="63"/>
      <c r="R1467" s="64"/>
    </row>
    <row r="1468" spans="1:20" ht="12" customHeight="1" x14ac:dyDescent="0.2">
      <c r="A1468" s="83"/>
      <c r="B1468" s="469" t="s">
        <v>84</v>
      </c>
      <c r="C1468" s="471" t="str">
        <f>IF(CODE(B1468)=89,"This candidate would like to receive Special","This candidate would not like to receive Special")</f>
        <v>This candidate would like to receive Special</v>
      </c>
      <c r="D1468" s="472"/>
      <c r="E1468" s="472"/>
      <c r="F1468" s="472"/>
      <c r="G1468" s="472"/>
      <c r="H1468" s="472"/>
      <c r="I1468" s="473"/>
      <c r="J1468" s="81"/>
      <c r="K1468" s="474" t="s">
        <v>205</v>
      </c>
      <c r="L1468" s="474"/>
      <c r="M1468" s="475"/>
      <c r="N1468" s="51" t="str">
        <f>IF($P$33&gt;=42,42,"")</f>
        <v/>
      </c>
      <c r="O1468" s="62" t="s">
        <v>52</v>
      </c>
      <c r="P1468" s="51" t="str">
        <f>IF($P$33&gt;=42,$P$33,"")</f>
        <v/>
      </c>
      <c r="Q1468" s="63"/>
      <c r="R1468" s="64"/>
    </row>
    <row r="1469" spans="1:20" ht="12" customHeight="1" x14ac:dyDescent="0.2">
      <c r="A1469" s="83"/>
      <c r="B1469" s="470"/>
      <c r="C1469" s="476" t="str">
        <f>IF(CODE(B1468)=89,"Announcements and Bulletins from RAD Canada","Announcements and Bulletins from RAD Canada")</f>
        <v>Announcements and Bulletins from RAD Canada</v>
      </c>
      <c r="D1469" s="477"/>
      <c r="E1469" s="477"/>
      <c r="F1469" s="477"/>
      <c r="G1469" s="477"/>
      <c r="H1469" s="477"/>
      <c r="I1469" s="478"/>
      <c r="J1469" s="479"/>
      <c r="K1469" s="400"/>
      <c r="L1469" s="400"/>
      <c r="M1469" s="400"/>
      <c r="N1469" s="400"/>
      <c r="O1469" s="400"/>
      <c r="P1469" s="400"/>
      <c r="Q1469" s="63"/>
      <c r="R1469" s="64"/>
    </row>
    <row r="1470" spans="1:20" x14ac:dyDescent="0.2">
      <c r="A1470" s="83"/>
      <c r="B1470" s="81"/>
      <c r="C1470" s="81"/>
      <c r="D1470" s="81"/>
      <c r="E1470" s="81"/>
      <c r="F1470" s="81"/>
      <c r="G1470" s="81"/>
      <c r="H1470" s="81"/>
      <c r="I1470" s="81"/>
      <c r="J1470" s="81"/>
      <c r="K1470" s="81"/>
      <c r="L1470" s="81"/>
      <c r="M1470" s="81"/>
      <c r="N1470" s="81"/>
      <c r="O1470" s="81"/>
      <c r="P1470" s="81"/>
      <c r="Q1470" s="63"/>
      <c r="R1470" s="64"/>
    </row>
    <row r="1471" spans="1:20" x14ac:dyDescent="0.2">
      <c r="A1471" s="83"/>
      <c r="B1471" s="62"/>
      <c r="C1471" s="62"/>
      <c r="D1471" s="62"/>
      <c r="E1471" s="62"/>
      <c r="F1471" s="62"/>
      <c r="G1471" s="62"/>
      <c r="H1471" s="62"/>
      <c r="I1471" s="62"/>
      <c r="J1471" s="62"/>
      <c r="K1471" s="62"/>
      <c r="L1471" s="62"/>
      <c r="M1471" s="62"/>
      <c r="N1471" s="62"/>
      <c r="O1471" s="62"/>
      <c r="P1471" s="62"/>
      <c r="Q1471" s="63"/>
      <c r="R1471" s="64"/>
    </row>
    <row r="1472" spans="1:20" x14ac:dyDescent="0.2">
      <c r="A1472" s="83"/>
      <c r="B1472" s="401" t="s">
        <v>233</v>
      </c>
      <c r="C1472" s="402"/>
      <c r="D1472" s="402"/>
      <c r="E1472" s="402"/>
      <c r="F1472" s="402"/>
      <c r="G1472" s="402"/>
      <c r="H1472" s="62"/>
      <c r="I1472" s="62"/>
      <c r="J1472" s="62"/>
      <c r="K1472" s="62"/>
      <c r="L1472" s="62"/>
      <c r="M1472" s="62"/>
      <c r="N1472" s="62"/>
      <c r="O1472" s="62"/>
      <c r="P1472" s="62"/>
      <c r="Q1472" s="63"/>
      <c r="R1472" s="64"/>
    </row>
    <row r="1473" spans="1:20" ht="15.75" x14ac:dyDescent="0.25">
      <c r="A1473" s="83"/>
      <c r="B1473" s="402"/>
      <c r="C1473" s="402"/>
      <c r="D1473" s="402"/>
      <c r="E1473" s="402"/>
      <c r="F1473" s="402"/>
      <c r="G1473" s="402"/>
      <c r="H1473" s="82"/>
      <c r="I1473" s="403"/>
      <c r="J1473" s="403"/>
      <c r="K1473" s="403"/>
      <c r="L1473" s="403"/>
      <c r="M1473" s="403"/>
      <c r="N1473" s="403"/>
      <c r="O1473" s="403"/>
      <c r="P1473" s="403"/>
      <c r="Q1473" s="63"/>
      <c r="R1473" s="64"/>
    </row>
    <row r="1474" spans="1:20" x14ac:dyDescent="0.2">
      <c r="A1474" s="83"/>
      <c r="B1474" s="400"/>
      <c r="C1474" s="400"/>
      <c r="D1474" s="400"/>
      <c r="E1474" s="400"/>
      <c r="F1474" s="400"/>
      <c r="G1474" s="400"/>
      <c r="H1474" s="400"/>
      <c r="I1474" s="400"/>
      <c r="J1474" s="400"/>
      <c r="K1474" s="400"/>
      <c r="L1474" s="400"/>
      <c r="M1474" s="403"/>
      <c r="N1474" s="403"/>
      <c r="O1474" s="403"/>
      <c r="P1474" s="403"/>
      <c r="Q1474" s="63"/>
      <c r="R1474" s="64"/>
    </row>
    <row r="1475" spans="1:20" x14ac:dyDescent="0.2">
      <c r="A1475" s="83"/>
      <c r="B1475" s="404" t="s">
        <v>260</v>
      </c>
      <c r="C1475" s="404"/>
      <c r="D1475" s="404"/>
      <c r="E1475" s="404"/>
      <c r="F1475" s="400"/>
      <c r="G1475" s="400"/>
      <c r="H1475" s="400"/>
      <c r="I1475" s="400"/>
      <c r="J1475" s="400"/>
      <c r="K1475" s="400"/>
      <c r="L1475" s="400"/>
      <c r="M1475" s="403"/>
      <c r="N1475" s="403"/>
      <c r="O1475" s="403"/>
      <c r="P1475" s="403"/>
      <c r="Q1475" s="63"/>
      <c r="R1475" s="64"/>
    </row>
    <row r="1476" spans="1:20" x14ac:dyDescent="0.2">
      <c r="A1476" s="83"/>
      <c r="B1476" s="69"/>
      <c r="C1476" s="324" t="s">
        <v>75</v>
      </c>
      <c r="D1476" s="408"/>
      <c r="E1476" s="409"/>
      <c r="F1476" s="400"/>
      <c r="G1476" s="400"/>
      <c r="H1476" s="400"/>
      <c r="I1476" s="400"/>
      <c r="J1476" s="400"/>
      <c r="K1476" s="400"/>
      <c r="L1476" s="400"/>
      <c r="M1476" s="70"/>
      <c r="N1476" s="70"/>
      <c r="O1476" s="70"/>
      <c r="P1476" s="70"/>
      <c r="Q1476" s="63"/>
      <c r="R1476" s="64"/>
    </row>
    <row r="1477" spans="1:20" x14ac:dyDescent="0.2">
      <c r="A1477" s="83"/>
      <c r="B1477" s="71"/>
      <c r="C1477" s="324" t="s">
        <v>128</v>
      </c>
      <c r="D1477" s="408"/>
      <c r="E1477" s="409"/>
      <c r="F1477" s="400"/>
      <c r="G1477" s="400"/>
      <c r="H1477" s="400"/>
      <c r="I1477" s="400"/>
      <c r="J1477" s="400"/>
      <c r="K1477" s="400"/>
      <c r="L1477" s="400"/>
      <c r="M1477" s="407" t="s">
        <v>256</v>
      </c>
      <c r="N1477" s="407"/>
      <c r="O1477" s="407"/>
      <c r="P1477" s="407"/>
      <c r="Q1477" s="63"/>
      <c r="R1477" s="64"/>
    </row>
    <row r="1478" spans="1:20" x14ac:dyDescent="0.2">
      <c r="A1478" s="83"/>
      <c r="B1478" s="56"/>
      <c r="C1478" s="324" t="s">
        <v>275</v>
      </c>
      <c r="D1478" s="408"/>
      <c r="E1478" s="409"/>
      <c r="F1478" s="400"/>
      <c r="G1478" s="400"/>
      <c r="H1478" s="400"/>
      <c r="I1478" s="400"/>
      <c r="J1478" s="400"/>
      <c r="K1478" s="400"/>
      <c r="L1478" s="400"/>
      <c r="M1478" s="407"/>
      <c r="N1478" s="407"/>
      <c r="O1478" s="407"/>
      <c r="P1478" s="407"/>
      <c r="Q1478" s="63"/>
      <c r="R1478" s="64"/>
    </row>
    <row r="1479" spans="1:20" x14ac:dyDescent="0.2">
      <c r="A1479" s="83"/>
      <c r="B1479" s="520"/>
      <c r="C1479" s="520"/>
      <c r="D1479" s="520"/>
      <c r="E1479" s="520"/>
      <c r="F1479" s="520"/>
      <c r="G1479" s="520"/>
      <c r="H1479" s="520"/>
      <c r="I1479" s="520"/>
      <c r="J1479" s="520"/>
      <c r="K1479" s="520"/>
      <c r="L1479" s="520"/>
      <c r="M1479" s="520"/>
      <c r="N1479" s="520"/>
      <c r="O1479" s="520"/>
      <c r="P1479" s="520"/>
      <c r="Q1479" s="63"/>
      <c r="R1479" s="64"/>
    </row>
    <row r="1480" spans="1:20" x14ac:dyDescent="0.2">
      <c r="A1480" s="83"/>
      <c r="B1480" s="432" t="s">
        <v>117</v>
      </c>
      <c r="C1480" s="433"/>
      <c r="D1480" s="434"/>
      <c r="E1480" s="442" t="str">
        <f>IF(AND($P$33&gt;=43,NOT(ISBLANK($E$10))),$E$10,"")</f>
        <v/>
      </c>
      <c r="F1480" s="443"/>
      <c r="G1480" s="444"/>
      <c r="H1480" s="414" t="s">
        <v>124</v>
      </c>
      <c r="I1480" s="415"/>
      <c r="J1480" s="442" t="str">
        <f>IF(AND($P$33&gt;=43,NOT(ISBLANK($J$10))),$J$10,"")</f>
        <v/>
      </c>
      <c r="K1480" s="443"/>
      <c r="L1480" s="444"/>
      <c r="M1480" s="414" t="s">
        <v>118</v>
      </c>
      <c r="N1480" s="415"/>
      <c r="O1480" s="430" t="str">
        <f>IF(AND($P$33&gt;=43,NOT(ISBLANK($O$10))),$O$10,"")</f>
        <v/>
      </c>
      <c r="P1480" s="521"/>
      <c r="Q1480" s="63"/>
      <c r="R1480" s="545" t="s">
        <v>307</v>
      </c>
      <c r="S1480" s="546"/>
      <c r="T1480" s="547"/>
    </row>
    <row r="1481" spans="1:20" x14ac:dyDescent="0.2">
      <c r="A1481" s="83"/>
      <c r="B1481" s="432" t="s">
        <v>240</v>
      </c>
      <c r="C1481" s="433"/>
      <c r="D1481" s="434"/>
      <c r="E1481" s="435" t="str">
        <f>IF(NOT($N1503=43),"",IF(ISERROR(LOOKUP(43,'Teacher Summary Sheet'!$M$19:$M$181)),"",IF(VLOOKUP(43,'Teacher Summary Sheet'!$M$19:$R$181,2)=0,"",VLOOKUP(43,'Teacher Summary Sheet'!$M$19:$R$181,2))))</f>
        <v/>
      </c>
      <c r="F1481" s="436"/>
      <c r="G1481" s="437"/>
      <c r="H1481" s="438" t="s">
        <v>119</v>
      </c>
      <c r="I1481" s="439"/>
      <c r="J1481" s="102" t="str">
        <f>IF(NOT($N1503=43),"",IF(ISERROR(LOOKUP(43,'Teacher Summary Sheet'!$M$19:$M$181)),"",IF(VLOOKUP(43,'Teacher Summary Sheet'!$M$19:$R$181,6)=0,"",VLOOKUP(43,'Teacher Summary Sheet'!$M$19:$R$181,6))))</f>
        <v/>
      </c>
      <c r="K1481" s="414" t="s">
        <v>179</v>
      </c>
      <c r="L1481" s="419"/>
      <c r="M1481" s="415"/>
      <c r="N1481" s="412" t="str">
        <f>IF(NOT($N1503=43),"",IF(ISERROR(LOOKUP(43,'Teacher Summary Sheet'!$M$19:$M$181)),"",IF('Teacher Summary Sheet'!$F$31=0,"",'Teacher Summary Sheet'!$F$31)))</f>
        <v/>
      </c>
      <c r="O1481" s="440"/>
      <c r="P1481" s="413"/>
      <c r="Q1481" s="63"/>
      <c r="R1481" s="548"/>
      <c r="S1481" s="549"/>
      <c r="T1481" s="550"/>
    </row>
    <row r="1482" spans="1:20" ht="14.25" x14ac:dyDescent="0.2">
      <c r="A1482" s="83"/>
      <c r="B1482" s="410" t="s">
        <v>241</v>
      </c>
      <c r="C1482" s="420"/>
      <c r="D1482" s="411"/>
      <c r="E1482" s="421" t="str">
        <f>IF(NOT($N1503=43),"",IF(ISERROR(LOOKUP(43,'Teacher Summary Sheet'!$M$19:$M$181)),"",IF(VLOOKUP(43,'Teacher Summary Sheet'!$M$19:$R$181,3)=0,"",VLOOKUP(43,'Teacher Summary Sheet'!$M$19:$R$181,3))))</f>
        <v/>
      </c>
      <c r="F1482" s="422"/>
      <c r="G1482" s="422"/>
      <c r="H1482" s="422"/>
      <c r="I1482" s="423"/>
      <c r="J1482" s="414" t="s">
        <v>124</v>
      </c>
      <c r="K1482" s="415"/>
      <c r="L1482" s="424" t="str">
        <f>IF(NOT($N1503=43),"",IF(ISERROR(LOOKUP(43,'Teacher Summary Sheet'!$M$19:$M$181)),"",IF(VLOOKUP(43,'Teacher Summary Sheet'!$M$19:$R$181,4)=0,"",VLOOKUP(43,'Teacher Summary Sheet'!$M$19:$R$181,4))))</f>
        <v/>
      </c>
      <c r="M1482" s="425"/>
      <c r="N1482" s="425"/>
      <c r="O1482" s="425"/>
      <c r="P1482" s="426"/>
      <c r="Q1482" s="63"/>
      <c r="R1482" s="125" t="str">
        <f>IF(NOT(N1503=43),"",IF(COUNTIF(R1484:R1490,"P")=7,"P","O"))</f>
        <v/>
      </c>
      <c r="S1482" s="110" t="str">
        <f>IF(NOT(N1503=43),"",IF(COUNTIF(R1484:R1490,"P")=7,"Complete","Incomplete"))</f>
        <v/>
      </c>
      <c r="T1482" s="111"/>
    </row>
    <row r="1483" spans="1:20" x14ac:dyDescent="0.2">
      <c r="A1483" s="83"/>
      <c r="B1483" s="410" t="s">
        <v>120</v>
      </c>
      <c r="C1483" s="420"/>
      <c r="D1483" s="411"/>
      <c r="E1483" s="427"/>
      <c r="F1483" s="428"/>
      <c r="G1483" s="428"/>
      <c r="H1483" s="428"/>
      <c r="I1483" s="428"/>
      <c r="J1483" s="429"/>
      <c r="K1483" s="62" t="s">
        <v>121</v>
      </c>
      <c r="L1483" s="427"/>
      <c r="M1483" s="428"/>
      <c r="N1483" s="428"/>
      <c r="O1483" s="428"/>
      <c r="P1483" s="429"/>
      <c r="Q1483" s="63"/>
    </row>
    <row r="1484" spans="1:20" ht="14.25" x14ac:dyDescent="0.2">
      <c r="A1484" s="83"/>
      <c r="B1484" s="410" t="s">
        <v>196</v>
      </c>
      <c r="C1484" s="420"/>
      <c r="D1484" s="411"/>
      <c r="E1484" s="427"/>
      <c r="F1484" s="428"/>
      <c r="G1484" s="428"/>
      <c r="H1484" s="428"/>
      <c r="I1484" s="429"/>
      <c r="J1484" s="73" t="s">
        <v>197</v>
      </c>
      <c r="K1484" s="405"/>
      <c r="L1484" s="406"/>
      <c r="M1484" s="414" t="s">
        <v>212</v>
      </c>
      <c r="N1484" s="415"/>
      <c r="O1484" s="405"/>
      <c r="P1484" s="406"/>
      <c r="Q1484" s="63"/>
      <c r="R1484" s="124" t="str">
        <f>IF(NOT(N1503=43),"",IF(OR(COUNTBLANK(E1482:E1482)=1,COUNTBLANK(L1482:L1482)=1),"O","P"))</f>
        <v/>
      </c>
      <c r="S1484" s="108" t="str">
        <f>IF(NOT(N1503=43),"","Candidate Name")</f>
        <v/>
      </c>
      <c r="T1484" s="64"/>
    </row>
    <row r="1485" spans="1:20" ht="14.25" x14ac:dyDescent="0.2">
      <c r="A1485" s="83"/>
      <c r="B1485" s="410" t="s">
        <v>198</v>
      </c>
      <c r="C1485" s="420"/>
      <c r="D1485" s="411"/>
      <c r="E1485" s="454"/>
      <c r="F1485" s="455"/>
      <c r="G1485" s="455"/>
      <c r="H1485" s="456"/>
      <c r="I1485" s="74" t="s">
        <v>199</v>
      </c>
      <c r="J1485" s="427"/>
      <c r="K1485" s="428"/>
      <c r="L1485" s="428"/>
      <c r="M1485" s="428"/>
      <c r="N1485" s="428"/>
      <c r="O1485" s="428"/>
      <c r="P1485" s="429"/>
      <c r="Q1485" s="63"/>
      <c r="R1485" s="124" t="str">
        <f>IF(NOT(N1503=43),"",IF(COUNTBLANK(E1481:E1481)=1,"O","P"))</f>
        <v/>
      </c>
      <c r="S1485" s="108" t="str">
        <f>IF(NOT(N1503=43),"","Candidate ID")</f>
        <v/>
      </c>
      <c r="T1485" s="64"/>
    </row>
    <row r="1486" spans="1:20" ht="14.25" x14ac:dyDescent="0.2">
      <c r="A1486" s="83"/>
      <c r="B1486" s="410" t="s">
        <v>227</v>
      </c>
      <c r="C1486" s="420"/>
      <c r="D1486" s="411"/>
      <c r="E1486" s="75" t="s">
        <v>218</v>
      </c>
      <c r="F1486" s="405"/>
      <c r="G1486" s="448"/>
      <c r="H1486" s="75" t="s">
        <v>138</v>
      </c>
      <c r="I1486" s="449"/>
      <c r="J1486" s="450"/>
      <c r="K1486" s="76" t="s">
        <v>139</v>
      </c>
      <c r="L1486" s="451"/>
      <c r="M1486" s="452"/>
      <c r="N1486" s="76" t="s">
        <v>228</v>
      </c>
      <c r="O1486" s="453" t="str">
        <f ca="1">IF(OR(ISBLANK(L1486),ISBLANK(I1486),ISBLANK(F1486),COUNTBLANK(J1481:J1481)=1),"",IF(DATEDIF(DATE(L1486,VLOOKUP(I1486,data!$T$2:$U$13,2,FALSE),F1486),IF(AND(TODAY()&lt;data!$AJ$12,TODAY()&gt;data!$AI$12),data!$AI$3,data!$AJ$3),"Y")&gt;=data!$AC$45,YEAR(TODAY())-L1486,data!$AD$3))</f>
        <v/>
      </c>
      <c r="P1486" s="413"/>
      <c r="Q1486" s="63"/>
      <c r="R1486" s="124" t="str">
        <f>IF(NOT(N1503=43),"",IF(OR(ISBLANK(E1483),ISBLANK(L1483),ISBLANK(K1484),ISBLANK(O1484)),"O","P"))</f>
        <v/>
      </c>
      <c r="S1486" s="108" t="str">
        <f>IF(NOT(N1503=43),"","Address")</f>
        <v/>
      </c>
      <c r="T1486" s="64"/>
    </row>
    <row r="1487" spans="1:20" ht="15" thickBot="1" x14ac:dyDescent="0.25">
      <c r="A1487" s="83"/>
      <c r="B1487" s="410" t="s">
        <v>214</v>
      </c>
      <c r="C1487" s="411"/>
      <c r="D1487" s="412" t="str">
        <f>IF(NOT($N1503=43),"",IF(ISERROR(LOOKUP(43,'Teacher Summary Sheet'!$M$19:$M$181)),"",IF(VLOOKUP(43,'Teacher Summary Sheet'!$M$19:$R$181,5)=0,"",VLOOKUP(43,'Teacher Summary Sheet'!$M$19:$R$181,5))))</f>
        <v/>
      </c>
      <c r="E1487" s="413"/>
      <c r="F1487" s="414" t="s">
        <v>319</v>
      </c>
      <c r="G1487" s="415"/>
      <c r="H1487" s="416"/>
      <c r="I1487" s="417"/>
      <c r="J1487" s="418"/>
      <c r="K1487" s="414" t="s">
        <v>320</v>
      </c>
      <c r="L1487" s="419"/>
      <c r="M1487" s="419"/>
      <c r="N1487" s="415"/>
      <c r="O1487" s="405" t="s">
        <v>268</v>
      </c>
      <c r="P1487" s="406"/>
      <c r="Q1487" s="63"/>
      <c r="R1487" s="124" t="str">
        <f>IF(NOT(N1503=43),"",IF(OR(ISBLANK(F1486),ISBLANK(I1486),ISBLANK(L1486)),"O","P"))</f>
        <v/>
      </c>
      <c r="S1487" s="108" t="str">
        <f>IF(NOT(N1503=43),"","Date of Birth")</f>
        <v/>
      </c>
      <c r="T1487" s="64"/>
    </row>
    <row r="1488" spans="1:20" ht="14.25" x14ac:dyDescent="0.2">
      <c r="A1488" s="83"/>
      <c r="B1488" s="522" t="s">
        <v>297</v>
      </c>
      <c r="C1488" s="463"/>
      <c r="D1488" s="463"/>
      <c r="E1488" s="463"/>
      <c r="F1488" s="463"/>
      <c r="G1488" s="463"/>
      <c r="H1488" s="463"/>
      <c r="I1488" s="463"/>
      <c r="J1488" s="463"/>
      <c r="K1488" s="463"/>
      <c r="L1488" s="463"/>
      <c r="M1488" s="463"/>
      <c r="N1488" s="463"/>
      <c r="O1488" s="463"/>
      <c r="P1488" s="464"/>
      <c r="Q1488" s="63"/>
      <c r="R1488" s="124" t="str">
        <f>IF(NOT(N1503=43),"",IF(COUNTBLANK(J1481:J1481)=1,"O","P"))</f>
        <v/>
      </c>
      <c r="S1488" s="112" t="str">
        <f>IF(NOT(N1503=43),"","Exam Level")</f>
        <v/>
      </c>
      <c r="T1488" s="64"/>
    </row>
    <row r="1489" spans="1:20" ht="14.25" x14ac:dyDescent="0.2">
      <c r="A1489" s="83"/>
      <c r="B1489" s="465"/>
      <c r="C1489" s="466"/>
      <c r="D1489" s="466"/>
      <c r="E1489" s="466"/>
      <c r="F1489" s="466"/>
      <c r="G1489" s="466"/>
      <c r="H1489" s="466"/>
      <c r="I1489" s="466"/>
      <c r="J1489" s="466"/>
      <c r="K1489" s="466"/>
      <c r="L1489" s="466"/>
      <c r="M1489" s="466"/>
      <c r="N1489" s="466"/>
      <c r="O1489" s="466"/>
      <c r="P1489" s="467"/>
      <c r="Q1489" s="63"/>
      <c r="R1489" s="124" t="str">
        <f>IF(NOT(N1503=43),"",IF(COUNTBLANK(D1487:D1487)=1,"O","P"))</f>
        <v/>
      </c>
      <c r="S1489" s="109" t="str">
        <f>IF(NOT(N1503=43),"","Gender")</f>
        <v/>
      </c>
      <c r="T1489" s="64"/>
    </row>
    <row r="1490" spans="1:20" ht="14.25" x14ac:dyDescent="0.2">
      <c r="A1490" s="83"/>
      <c r="B1490" s="432" t="s">
        <v>298</v>
      </c>
      <c r="C1490" s="433"/>
      <c r="D1490" s="434"/>
      <c r="E1490" s="405"/>
      <c r="F1490" s="406"/>
      <c r="G1490" s="432" t="s">
        <v>299</v>
      </c>
      <c r="H1490" s="433"/>
      <c r="I1490" s="434"/>
      <c r="J1490" s="405"/>
      <c r="K1490" s="448"/>
      <c r="L1490" s="406"/>
      <c r="M1490" s="414" t="s">
        <v>300</v>
      </c>
      <c r="N1490" s="415"/>
      <c r="O1490" s="457"/>
      <c r="P1490" s="458"/>
      <c r="Q1490" s="63"/>
      <c r="R1490" s="124" t="str">
        <f>IF(NOT(N1503=43),"",IF(ISBLANK(H1487),"O","P"))</f>
        <v/>
      </c>
      <c r="S1490" s="109" t="str">
        <f>IF(NOT(N1503=43),"","Height")</f>
        <v/>
      </c>
      <c r="T1490" s="64"/>
    </row>
    <row r="1491" spans="1:20" x14ac:dyDescent="0.2">
      <c r="A1491" s="83"/>
      <c r="B1491" s="77" t="s">
        <v>153</v>
      </c>
      <c r="C1491" s="405"/>
      <c r="D1491" s="406"/>
      <c r="E1491" s="414" t="s">
        <v>301</v>
      </c>
      <c r="F1491" s="415"/>
      <c r="G1491" s="459"/>
      <c r="H1491" s="460"/>
      <c r="I1491" s="461"/>
      <c r="J1491" s="414" t="s">
        <v>302</v>
      </c>
      <c r="K1491" s="415"/>
      <c r="L1491" s="454"/>
      <c r="M1491" s="455"/>
      <c r="N1491" s="455"/>
      <c r="O1491" s="455"/>
      <c r="P1491" s="456"/>
      <c r="Q1491" s="63"/>
      <c r="R1491" s="64"/>
      <c r="S1491" s="64"/>
      <c r="T1491" s="64"/>
    </row>
    <row r="1492" spans="1:20" x14ac:dyDescent="0.2">
      <c r="A1492" s="83"/>
      <c r="B1492" s="410" t="s">
        <v>116</v>
      </c>
      <c r="C1492" s="420"/>
      <c r="D1492" s="420"/>
      <c r="E1492" s="420"/>
      <c r="F1492" s="420"/>
      <c r="G1492" s="420"/>
      <c r="H1492" s="420"/>
      <c r="I1492" s="420"/>
      <c r="J1492" s="420"/>
      <c r="K1492" s="420"/>
      <c r="L1492" s="420"/>
      <c r="M1492" s="420"/>
      <c r="N1492" s="420"/>
      <c r="O1492" s="420"/>
      <c r="P1492" s="411"/>
      <c r="Q1492" s="63"/>
      <c r="R1492" s="64"/>
      <c r="S1492" s="64"/>
      <c r="T1492" s="64"/>
    </row>
    <row r="1493" spans="1:20" x14ac:dyDescent="0.2">
      <c r="A1493" s="83"/>
      <c r="B1493" s="410" t="s">
        <v>298</v>
      </c>
      <c r="C1493" s="420"/>
      <c r="D1493" s="411"/>
      <c r="E1493" s="405"/>
      <c r="F1493" s="406"/>
      <c r="G1493" s="410" t="s">
        <v>299</v>
      </c>
      <c r="H1493" s="420"/>
      <c r="I1493" s="411"/>
      <c r="J1493" s="454"/>
      <c r="K1493" s="455"/>
      <c r="L1493" s="456"/>
      <c r="M1493" s="414" t="s">
        <v>300</v>
      </c>
      <c r="N1493" s="415"/>
      <c r="O1493" s="457"/>
      <c r="P1493" s="458"/>
      <c r="Q1493" s="63"/>
      <c r="R1493" s="64"/>
    </row>
    <row r="1494" spans="1:20" ht="13.5" thickBot="1" x14ac:dyDescent="0.25">
      <c r="A1494" s="83"/>
      <c r="B1494" s="78" t="s">
        <v>153</v>
      </c>
      <c r="C1494" s="492"/>
      <c r="D1494" s="493"/>
      <c r="E1494" s="494" t="s">
        <v>301</v>
      </c>
      <c r="F1494" s="495"/>
      <c r="G1494" s="496"/>
      <c r="H1494" s="497"/>
      <c r="I1494" s="498"/>
      <c r="J1494" s="414" t="s">
        <v>302</v>
      </c>
      <c r="K1494" s="415"/>
      <c r="L1494" s="454"/>
      <c r="M1494" s="455"/>
      <c r="N1494" s="455"/>
      <c r="O1494" s="455"/>
      <c r="P1494" s="456"/>
      <c r="Q1494" s="63"/>
      <c r="R1494" s="64"/>
    </row>
    <row r="1495" spans="1:20" x14ac:dyDescent="0.2">
      <c r="A1495" s="83"/>
      <c r="B1495" s="499" t="s">
        <v>126</v>
      </c>
      <c r="C1495" s="500"/>
      <c r="D1495" s="500"/>
      <c r="E1495" s="500"/>
      <c r="F1495" s="500"/>
      <c r="G1495" s="500"/>
      <c r="H1495" s="500"/>
      <c r="I1495" s="501"/>
      <c r="J1495" s="505"/>
      <c r="K1495" s="506"/>
      <c r="L1495" s="506"/>
      <c r="M1495" s="506"/>
      <c r="N1495" s="506"/>
      <c r="O1495" s="506"/>
      <c r="P1495" s="507"/>
      <c r="Q1495" s="63"/>
      <c r="R1495" s="64"/>
    </row>
    <row r="1496" spans="1:20" x14ac:dyDescent="0.2">
      <c r="A1496" s="83"/>
      <c r="B1496" s="502"/>
      <c r="C1496" s="503"/>
      <c r="D1496" s="503"/>
      <c r="E1496" s="503"/>
      <c r="F1496" s="503"/>
      <c r="G1496" s="503"/>
      <c r="H1496" s="503"/>
      <c r="I1496" s="504"/>
      <c r="J1496" s="508"/>
      <c r="K1496" s="509"/>
      <c r="L1496" s="509"/>
      <c r="M1496" s="509"/>
      <c r="N1496" s="509"/>
      <c r="O1496" s="509"/>
      <c r="P1496" s="510"/>
      <c r="Q1496" s="63"/>
      <c r="R1496" s="64"/>
    </row>
    <row r="1497" spans="1:20" x14ac:dyDescent="0.2">
      <c r="A1497" s="83"/>
      <c r="B1497" s="514" t="s">
        <v>127</v>
      </c>
      <c r="C1497" s="515"/>
      <c r="D1497" s="515"/>
      <c r="E1497" s="515"/>
      <c r="F1497" s="515"/>
      <c r="G1497" s="515"/>
      <c r="H1497" s="515"/>
      <c r="I1497" s="516"/>
      <c r="J1497" s="508"/>
      <c r="K1497" s="509"/>
      <c r="L1497" s="509"/>
      <c r="M1497" s="509"/>
      <c r="N1497" s="509"/>
      <c r="O1497" s="509"/>
      <c r="P1497" s="510"/>
      <c r="Q1497" s="63"/>
      <c r="R1497" s="64"/>
    </row>
    <row r="1498" spans="1:20" ht="13.5" thickBot="1" x14ac:dyDescent="0.25">
      <c r="A1498" s="83"/>
      <c r="B1498" s="517"/>
      <c r="C1498" s="518"/>
      <c r="D1498" s="518"/>
      <c r="E1498" s="518"/>
      <c r="F1498" s="518"/>
      <c r="G1498" s="518"/>
      <c r="H1498" s="518"/>
      <c r="I1498" s="519"/>
      <c r="J1498" s="511"/>
      <c r="K1498" s="512"/>
      <c r="L1498" s="512"/>
      <c r="M1498" s="512"/>
      <c r="N1498" s="512"/>
      <c r="O1498" s="512"/>
      <c r="P1498" s="513"/>
      <c r="Q1498" s="63"/>
      <c r="R1498" s="64"/>
    </row>
    <row r="1499" spans="1:20" x14ac:dyDescent="0.2">
      <c r="A1499" s="83"/>
      <c r="B1499" s="480" t="s">
        <v>10</v>
      </c>
      <c r="C1499" s="481"/>
      <c r="D1499" s="481"/>
      <c r="E1499" s="481"/>
      <c r="F1499" s="481"/>
      <c r="G1499" s="481"/>
      <c r="H1499" s="481"/>
      <c r="I1499" s="482"/>
      <c r="J1499" s="79">
        <v>1</v>
      </c>
      <c r="K1499" s="483"/>
      <c r="L1499" s="484"/>
      <c r="M1499" s="484"/>
      <c r="N1499" s="484"/>
      <c r="O1499" s="484"/>
      <c r="P1499" s="485"/>
      <c r="Q1499" s="63"/>
      <c r="R1499" s="64"/>
    </row>
    <row r="1500" spans="1:20" x14ac:dyDescent="0.2">
      <c r="A1500" s="83"/>
      <c r="B1500" s="486" t="s">
        <v>276</v>
      </c>
      <c r="C1500" s="487"/>
      <c r="D1500" s="487"/>
      <c r="E1500" s="487"/>
      <c r="F1500" s="487"/>
      <c r="G1500" s="487"/>
      <c r="H1500" s="487"/>
      <c r="I1500" s="488"/>
      <c r="J1500" s="80">
        <v>2</v>
      </c>
      <c r="K1500" s="454"/>
      <c r="L1500" s="455"/>
      <c r="M1500" s="455"/>
      <c r="N1500" s="455"/>
      <c r="O1500" s="455"/>
      <c r="P1500" s="456"/>
      <c r="Q1500" s="63"/>
      <c r="R1500" s="64"/>
    </row>
    <row r="1501" spans="1:20" x14ac:dyDescent="0.2">
      <c r="A1501" s="83"/>
      <c r="B1501" s="489" t="s">
        <v>234</v>
      </c>
      <c r="C1501" s="490"/>
      <c r="D1501" s="490"/>
      <c r="E1501" s="490"/>
      <c r="F1501" s="490"/>
      <c r="G1501" s="490"/>
      <c r="H1501" s="490"/>
      <c r="I1501" s="491"/>
      <c r="J1501" s="80">
        <v>3</v>
      </c>
      <c r="K1501" s="454"/>
      <c r="L1501" s="455"/>
      <c r="M1501" s="455"/>
      <c r="N1501" s="455"/>
      <c r="O1501" s="455"/>
      <c r="P1501" s="456"/>
      <c r="Q1501" s="63"/>
      <c r="R1501" s="64"/>
    </row>
    <row r="1502" spans="1:20" x14ac:dyDescent="0.2">
      <c r="A1502" s="83"/>
      <c r="B1502" s="468"/>
      <c r="C1502" s="468"/>
      <c r="D1502" s="468"/>
      <c r="E1502" s="468"/>
      <c r="F1502" s="468"/>
      <c r="G1502" s="468"/>
      <c r="H1502" s="468"/>
      <c r="I1502" s="468"/>
      <c r="J1502" s="468"/>
      <c r="K1502" s="468"/>
      <c r="L1502" s="468"/>
      <c r="M1502" s="468"/>
      <c r="N1502" s="468"/>
      <c r="O1502" s="468"/>
      <c r="P1502" s="468"/>
      <c r="Q1502" s="63"/>
      <c r="R1502" s="64"/>
    </row>
    <row r="1503" spans="1:20" ht="12" customHeight="1" x14ac:dyDescent="0.2">
      <c r="A1503" s="83"/>
      <c r="B1503" s="469" t="s">
        <v>84</v>
      </c>
      <c r="C1503" s="471" t="str">
        <f>IF(CODE(B1503)=89,"This candidate would like to receive Special","This candidate would not like to receive Special")</f>
        <v>This candidate would like to receive Special</v>
      </c>
      <c r="D1503" s="472"/>
      <c r="E1503" s="472"/>
      <c r="F1503" s="472"/>
      <c r="G1503" s="472"/>
      <c r="H1503" s="472"/>
      <c r="I1503" s="473"/>
      <c r="J1503" s="81"/>
      <c r="K1503" s="474" t="s">
        <v>206</v>
      </c>
      <c r="L1503" s="474"/>
      <c r="M1503" s="475"/>
      <c r="N1503" s="51" t="str">
        <f>IF($P$33&gt;=43,43,"")</f>
        <v/>
      </c>
      <c r="O1503" s="62" t="s">
        <v>52</v>
      </c>
      <c r="P1503" s="51" t="str">
        <f>IF($P$33&gt;=43,$P$33,"")</f>
        <v/>
      </c>
      <c r="Q1503" s="63"/>
      <c r="R1503" s="64"/>
    </row>
    <row r="1504" spans="1:20" ht="12" customHeight="1" x14ac:dyDescent="0.2">
      <c r="A1504" s="83"/>
      <c r="B1504" s="470"/>
      <c r="C1504" s="476" t="str">
        <f>IF(CODE(B1503)=89,"Announcements and Bulletins from RAD Canada","Announcements and Bulletins from RAD Canada")</f>
        <v>Announcements and Bulletins from RAD Canada</v>
      </c>
      <c r="D1504" s="477"/>
      <c r="E1504" s="477"/>
      <c r="F1504" s="477"/>
      <c r="G1504" s="477"/>
      <c r="H1504" s="477"/>
      <c r="I1504" s="478"/>
      <c r="J1504" s="479"/>
      <c r="K1504" s="400"/>
      <c r="L1504" s="400"/>
      <c r="M1504" s="400"/>
      <c r="N1504" s="400"/>
      <c r="O1504" s="400"/>
      <c r="P1504" s="400"/>
      <c r="Q1504" s="63"/>
      <c r="R1504" s="64"/>
    </row>
    <row r="1505" spans="1:20" x14ac:dyDescent="0.2">
      <c r="A1505" s="83"/>
      <c r="B1505" s="81"/>
      <c r="C1505" s="81"/>
      <c r="D1505" s="81"/>
      <c r="E1505" s="81"/>
      <c r="F1505" s="81"/>
      <c r="G1505" s="81"/>
      <c r="H1505" s="81"/>
      <c r="I1505" s="81"/>
      <c r="J1505" s="81"/>
      <c r="K1505" s="81"/>
      <c r="L1505" s="81"/>
      <c r="M1505" s="81"/>
      <c r="N1505" s="81"/>
      <c r="O1505" s="81"/>
      <c r="P1505" s="81"/>
      <c r="Q1505" s="63"/>
      <c r="R1505" s="64"/>
    </row>
    <row r="1506" spans="1:20" x14ac:dyDescent="0.2">
      <c r="A1506" s="83"/>
      <c r="B1506" s="62"/>
      <c r="C1506" s="62"/>
      <c r="D1506" s="62"/>
      <c r="E1506" s="62"/>
      <c r="F1506" s="62"/>
      <c r="G1506" s="62"/>
      <c r="H1506" s="62"/>
      <c r="I1506" s="62"/>
      <c r="J1506" s="62"/>
      <c r="K1506" s="62"/>
      <c r="L1506" s="62"/>
      <c r="M1506" s="62"/>
      <c r="N1506" s="62"/>
      <c r="O1506" s="62"/>
      <c r="P1506" s="62"/>
      <c r="Q1506" s="63"/>
      <c r="R1506" s="64"/>
    </row>
    <row r="1507" spans="1:20" x14ac:dyDescent="0.2">
      <c r="A1507" s="83"/>
      <c r="B1507" s="401" t="s">
        <v>281</v>
      </c>
      <c r="C1507" s="402"/>
      <c r="D1507" s="402"/>
      <c r="E1507" s="402"/>
      <c r="F1507" s="402"/>
      <c r="G1507" s="402"/>
      <c r="H1507" s="62"/>
      <c r="I1507" s="62"/>
      <c r="J1507" s="62"/>
      <c r="K1507" s="62"/>
      <c r="L1507" s="62"/>
      <c r="M1507" s="62"/>
      <c r="N1507" s="62"/>
      <c r="O1507" s="62"/>
      <c r="P1507" s="62"/>
      <c r="Q1507" s="63"/>
      <c r="R1507" s="64"/>
    </row>
    <row r="1508" spans="1:20" ht="15.75" x14ac:dyDescent="0.25">
      <c r="A1508" s="83"/>
      <c r="B1508" s="402"/>
      <c r="C1508" s="402"/>
      <c r="D1508" s="402"/>
      <c r="E1508" s="402"/>
      <c r="F1508" s="402"/>
      <c r="G1508" s="402"/>
      <c r="H1508" s="82"/>
      <c r="I1508" s="403"/>
      <c r="J1508" s="403"/>
      <c r="K1508" s="403"/>
      <c r="L1508" s="403"/>
      <c r="M1508" s="403"/>
      <c r="N1508" s="403"/>
      <c r="O1508" s="403"/>
      <c r="P1508" s="403"/>
      <c r="Q1508" s="63"/>
      <c r="R1508" s="64"/>
    </row>
    <row r="1509" spans="1:20" x14ac:dyDescent="0.2">
      <c r="A1509" s="83"/>
      <c r="B1509" s="400"/>
      <c r="C1509" s="400"/>
      <c r="D1509" s="400"/>
      <c r="E1509" s="400"/>
      <c r="F1509" s="400"/>
      <c r="G1509" s="400"/>
      <c r="H1509" s="400"/>
      <c r="I1509" s="400"/>
      <c r="J1509" s="400"/>
      <c r="K1509" s="400"/>
      <c r="L1509" s="400"/>
      <c r="M1509" s="403"/>
      <c r="N1509" s="403"/>
      <c r="O1509" s="403"/>
      <c r="P1509" s="403"/>
      <c r="Q1509" s="63"/>
      <c r="R1509" s="64"/>
    </row>
    <row r="1510" spans="1:20" x14ac:dyDescent="0.2">
      <c r="A1510" s="83"/>
      <c r="B1510" s="404" t="s">
        <v>260</v>
      </c>
      <c r="C1510" s="404"/>
      <c r="D1510" s="404"/>
      <c r="E1510" s="404"/>
      <c r="F1510" s="400"/>
      <c r="G1510" s="400"/>
      <c r="H1510" s="400"/>
      <c r="I1510" s="400"/>
      <c r="J1510" s="400"/>
      <c r="K1510" s="400"/>
      <c r="L1510" s="400"/>
      <c r="M1510" s="403"/>
      <c r="N1510" s="403"/>
      <c r="O1510" s="403"/>
      <c r="P1510" s="403"/>
      <c r="Q1510" s="63"/>
      <c r="R1510" s="64"/>
    </row>
    <row r="1511" spans="1:20" x14ac:dyDescent="0.2">
      <c r="A1511" s="83"/>
      <c r="B1511" s="69"/>
      <c r="C1511" s="324" t="s">
        <v>75</v>
      </c>
      <c r="D1511" s="408"/>
      <c r="E1511" s="409"/>
      <c r="F1511" s="400"/>
      <c r="G1511" s="400"/>
      <c r="H1511" s="400"/>
      <c r="I1511" s="400"/>
      <c r="J1511" s="400"/>
      <c r="K1511" s="400"/>
      <c r="L1511" s="400"/>
      <c r="M1511" s="70"/>
      <c r="N1511" s="70"/>
      <c r="O1511" s="70"/>
      <c r="P1511" s="70"/>
      <c r="Q1511" s="63"/>
      <c r="R1511" s="64"/>
    </row>
    <row r="1512" spans="1:20" x14ac:dyDescent="0.2">
      <c r="A1512" s="83"/>
      <c r="B1512" s="71"/>
      <c r="C1512" s="324" t="s">
        <v>128</v>
      </c>
      <c r="D1512" s="408"/>
      <c r="E1512" s="409"/>
      <c r="F1512" s="400"/>
      <c r="G1512" s="400"/>
      <c r="H1512" s="400"/>
      <c r="I1512" s="400"/>
      <c r="J1512" s="400"/>
      <c r="K1512" s="400"/>
      <c r="L1512" s="400"/>
      <c r="M1512" s="407" t="s">
        <v>256</v>
      </c>
      <c r="N1512" s="407"/>
      <c r="O1512" s="407"/>
      <c r="P1512" s="407"/>
      <c r="Q1512" s="63"/>
      <c r="R1512" s="64"/>
    </row>
    <row r="1513" spans="1:20" x14ac:dyDescent="0.2">
      <c r="A1513" s="83"/>
      <c r="B1513" s="56"/>
      <c r="C1513" s="324" t="s">
        <v>282</v>
      </c>
      <c r="D1513" s="408"/>
      <c r="E1513" s="409"/>
      <c r="F1513" s="400"/>
      <c r="G1513" s="400"/>
      <c r="H1513" s="400"/>
      <c r="I1513" s="400"/>
      <c r="J1513" s="400"/>
      <c r="K1513" s="400"/>
      <c r="L1513" s="400"/>
      <c r="M1513" s="407"/>
      <c r="N1513" s="407"/>
      <c r="O1513" s="407"/>
      <c r="P1513" s="407"/>
      <c r="Q1513" s="63"/>
      <c r="R1513" s="64"/>
    </row>
    <row r="1514" spans="1:20" x14ac:dyDescent="0.2">
      <c r="A1514" s="83"/>
      <c r="B1514" s="520"/>
      <c r="C1514" s="520"/>
      <c r="D1514" s="520"/>
      <c r="E1514" s="520"/>
      <c r="F1514" s="520"/>
      <c r="G1514" s="520"/>
      <c r="H1514" s="520"/>
      <c r="I1514" s="520"/>
      <c r="J1514" s="520"/>
      <c r="K1514" s="520"/>
      <c r="L1514" s="520"/>
      <c r="M1514" s="520"/>
      <c r="N1514" s="520"/>
      <c r="O1514" s="520"/>
      <c r="P1514" s="520"/>
      <c r="Q1514" s="63"/>
      <c r="R1514" s="64"/>
    </row>
    <row r="1515" spans="1:20" x14ac:dyDescent="0.2">
      <c r="A1515" s="83"/>
      <c r="B1515" s="432" t="s">
        <v>117</v>
      </c>
      <c r="C1515" s="433"/>
      <c r="D1515" s="434"/>
      <c r="E1515" s="442" t="str">
        <f>IF(AND($P$33&gt;=44,NOT(ISBLANK($E$10))),$E$10,"")</f>
        <v/>
      </c>
      <c r="F1515" s="443"/>
      <c r="G1515" s="444"/>
      <c r="H1515" s="414" t="s">
        <v>124</v>
      </c>
      <c r="I1515" s="415"/>
      <c r="J1515" s="442" t="str">
        <f>IF(AND($P$33&gt;=44,NOT(ISBLANK($J$10))),$J$10,"")</f>
        <v/>
      </c>
      <c r="K1515" s="443"/>
      <c r="L1515" s="444"/>
      <c r="M1515" s="414" t="s">
        <v>118</v>
      </c>
      <c r="N1515" s="415"/>
      <c r="O1515" s="430" t="str">
        <f>IF(AND($P$33&gt;=44,NOT(ISBLANK($O$10))),$O$10,"")</f>
        <v/>
      </c>
      <c r="P1515" s="521"/>
      <c r="Q1515" s="63"/>
      <c r="R1515" s="545" t="s">
        <v>307</v>
      </c>
      <c r="S1515" s="546"/>
      <c r="T1515" s="547"/>
    </row>
    <row r="1516" spans="1:20" x14ac:dyDescent="0.2">
      <c r="A1516" s="83"/>
      <c r="B1516" s="432" t="s">
        <v>240</v>
      </c>
      <c r="C1516" s="433"/>
      <c r="D1516" s="434"/>
      <c r="E1516" s="435" t="str">
        <f>IF(NOT($N1538=44),"",IF(ISERROR(LOOKUP(44,'Teacher Summary Sheet'!$M$19:$M$181)),"",IF(VLOOKUP(44,'Teacher Summary Sheet'!$M$19:$R$181,2)=0,"",VLOOKUP(44,'Teacher Summary Sheet'!$M$19:$R$181,2))))</f>
        <v/>
      </c>
      <c r="F1516" s="436"/>
      <c r="G1516" s="437"/>
      <c r="H1516" s="438" t="s">
        <v>119</v>
      </c>
      <c r="I1516" s="439"/>
      <c r="J1516" s="102" t="str">
        <f>IF(NOT($N1538=44),"",IF(ISERROR(LOOKUP(44,'Teacher Summary Sheet'!$M$19:$M$181)),"",IF(VLOOKUP(44,'Teacher Summary Sheet'!$M$19:$R$181,6)=0,"",VLOOKUP(44,'Teacher Summary Sheet'!$M$19:$R$181,6))))</f>
        <v/>
      </c>
      <c r="K1516" s="414" t="s">
        <v>179</v>
      </c>
      <c r="L1516" s="419"/>
      <c r="M1516" s="415"/>
      <c r="N1516" s="412" t="str">
        <f>IF(NOT($N1538=44),"",IF(ISERROR(LOOKUP(4,'Teacher Summary Sheet'!$M$19:$M$181)),"",IF('Teacher Summary Sheet'!$F$31=0,"",'Teacher Summary Sheet'!$F$31)))</f>
        <v/>
      </c>
      <c r="O1516" s="440"/>
      <c r="P1516" s="413"/>
      <c r="Q1516" s="63"/>
      <c r="R1516" s="548"/>
      <c r="S1516" s="549"/>
      <c r="T1516" s="550"/>
    </row>
    <row r="1517" spans="1:20" ht="14.25" x14ac:dyDescent="0.2">
      <c r="A1517" s="83"/>
      <c r="B1517" s="410" t="s">
        <v>241</v>
      </c>
      <c r="C1517" s="420"/>
      <c r="D1517" s="411"/>
      <c r="E1517" s="421" t="str">
        <f>IF(NOT($N1538=44),"",IF(ISERROR(LOOKUP(44,'Teacher Summary Sheet'!$M$19:$M$181)),"",IF(VLOOKUP(44,'Teacher Summary Sheet'!$M$19:$R$181,3)=0,"",VLOOKUP(44,'Teacher Summary Sheet'!$M$19:$R$181,3))))</f>
        <v/>
      </c>
      <c r="F1517" s="422"/>
      <c r="G1517" s="422"/>
      <c r="H1517" s="422"/>
      <c r="I1517" s="423"/>
      <c r="J1517" s="414" t="s">
        <v>124</v>
      </c>
      <c r="K1517" s="415"/>
      <c r="L1517" s="424" t="str">
        <f>IF(NOT($N1538=44),"",IF(ISERROR(LOOKUP(44,'Teacher Summary Sheet'!$M$19:$M$181)),"",IF(VLOOKUP(44,'Teacher Summary Sheet'!$M$19:$R$181,4)=0,"",VLOOKUP(44,'Teacher Summary Sheet'!$M$19:$R$181,4))))</f>
        <v/>
      </c>
      <c r="M1517" s="425"/>
      <c r="N1517" s="425"/>
      <c r="O1517" s="425"/>
      <c r="P1517" s="426"/>
      <c r="Q1517" s="63"/>
      <c r="R1517" s="125" t="str">
        <f>IF(NOT(N1538=44),"",IF(COUNTIF(R1519:R1525,"P")=7,"P","O"))</f>
        <v/>
      </c>
      <c r="S1517" s="110" t="str">
        <f>IF(NOT(N1538=44),"",IF(COUNTIF(R1519:R1525,"P")=7,"Complete","Incomplete"))</f>
        <v/>
      </c>
      <c r="T1517" s="111"/>
    </row>
    <row r="1518" spans="1:20" x14ac:dyDescent="0.2">
      <c r="A1518" s="83"/>
      <c r="B1518" s="410" t="s">
        <v>120</v>
      </c>
      <c r="C1518" s="420"/>
      <c r="D1518" s="411"/>
      <c r="E1518" s="427"/>
      <c r="F1518" s="428"/>
      <c r="G1518" s="428"/>
      <c r="H1518" s="428"/>
      <c r="I1518" s="428"/>
      <c r="J1518" s="429"/>
      <c r="K1518" s="62" t="s">
        <v>121</v>
      </c>
      <c r="L1518" s="427"/>
      <c r="M1518" s="428"/>
      <c r="N1518" s="428"/>
      <c r="O1518" s="428"/>
      <c r="P1518" s="429"/>
      <c r="Q1518" s="63"/>
    </row>
    <row r="1519" spans="1:20" ht="14.25" x14ac:dyDescent="0.2">
      <c r="A1519" s="83"/>
      <c r="B1519" s="410" t="s">
        <v>196</v>
      </c>
      <c r="C1519" s="420"/>
      <c r="D1519" s="411"/>
      <c r="E1519" s="427"/>
      <c r="F1519" s="428"/>
      <c r="G1519" s="428"/>
      <c r="H1519" s="428"/>
      <c r="I1519" s="429"/>
      <c r="J1519" s="73" t="s">
        <v>197</v>
      </c>
      <c r="K1519" s="405"/>
      <c r="L1519" s="406"/>
      <c r="M1519" s="414" t="s">
        <v>212</v>
      </c>
      <c r="N1519" s="415"/>
      <c r="O1519" s="405"/>
      <c r="P1519" s="406"/>
      <c r="Q1519" s="63"/>
      <c r="R1519" s="124" t="str">
        <f>IF(NOT(N1538=44),"",IF(OR(COUNTBLANK(E1517:E1517)=1,COUNTBLANK(L1517:L1517)=1),"O","P"))</f>
        <v/>
      </c>
      <c r="S1519" s="108" t="str">
        <f>IF(NOT(N1538=44),"","Candidate Name")</f>
        <v/>
      </c>
      <c r="T1519" s="64"/>
    </row>
    <row r="1520" spans="1:20" ht="14.25" x14ac:dyDescent="0.2">
      <c r="A1520" s="83"/>
      <c r="B1520" s="410" t="s">
        <v>198</v>
      </c>
      <c r="C1520" s="420"/>
      <c r="D1520" s="411"/>
      <c r="E1520" s="454"/>
      <c r="F1520" s="455"/>
      <c r="G1520" s="455"/>
      <c r="H1520" s="456"/>
      <c r="I1520" s="74" t="s">
        <v>199</v>
      </c>
      <c r="J1520" s="427"/>
      <c r="K1520" s="428"/>
      <c r="L1520" s="428"/>
      <c r="M1520" s="428"/>
      <c r="N1520" s="428"/>
      <c r="O1520" s="428"/>
      <c r="P1520" s="429"/>
      <c r="Q1520" s="63"/>
      <c r="R1520" s="124" t="str">
        <f>IF(NOT(N1538=44),"",IF(COUNTBLANK(E1516:E1516)=1,"O","P"))</f>
        <v/>
      </c>
      <c r="S1520" s="108" t="str">
        <f>IF(NOT(N1538=44),"","Candidate ID")</f>
        <v/>
      </c>
      <c r="T1520" s="64"/>
    </row>
    <row r="1521" spans="1:20" ht="14.25" x14ac:dyDescent="0.2">
      <c r="A1521" s="83"/>
      <c r="B1521" s="410" t="s">
        <v>227</v>
      </c>
      <c r="C1521" s="420"/>
      <c r="D1521" s="411"/>
      <c r="E1521" s="75" t="s">
        <v>218</v>
      </c>
      <c r="F1521" s="405"/>
      <c r="G1521" s="448"/>
      <c r="H1521" s="75" t="s">
        <v>138</v>
      </c>
      <c r="I1521" s="449"/>
      <c r="J1521" s="450"/>
      <c r="K1521" s="76" t="s">
        <v>139</v>
      </c>
      <c r="L1521" s="451"/>
      <c r="M1521" s="452"/>
      <c r="N1521" s="76" t="s">
        <v>228</v>
      </c>
      <c r="O1521" s="453" t="str">
        <f ca="1">IF(OR(ISBLANK(L1521),ISBLANK(I1521),ISBLANK(F1521),COUNTBLANK(J1516:J1516)=1),"",IF(DATEDIF(DATE(L1521,VLOOKUP(I1521,data!$T$2:$U$13,2,FALSE),F1521),IF(AND(TODAY()&lt;data!$AJ$12,TODAY()&gt;data!$AI$12),data!$AI$3,data!$AJ$3),"Y")&gt;=data!$AC$46,YEAR(TODAY())-L1521,data!$AD$3))</f>
        <v/>
      </c>
      <c r="P1521" s="413"/>
      <c r="Q1521" s="63"/>
      <c r="R1521" s="124" t="str">
        <f>IF(NOT(N1538=44),"",IF(OR(ISBLANK(E1518),ISBLANK(L1518),ISBLANK(K1519),ISBLANK(O1519)),"O","P"))</f>
        <v/>
      </c>
      <c r="S1521" s="108" t="str">
        <f>IF(NOT(N1538=44),"","Address")</f>
        <v/>
      </c>
      <c r="T1521" s="64"/>
    </row>
    <row r="1522" spans="1:20" ht="15" thickBot="1" x14ac:dyDescent="0.25">
      <c r="A1522" s="83"/>
      <c r="B1522" s="410" t="s">
        <v>214</v>
      </c>
      <c r="C1522" s="411"/>
      <c r="D1522" s="412" t="str">
        <f>IF(NOT($N1538=44),"",IF(ISERROR(LOOKUP(44,'Teacher Summary Sheet'!$M$19:$M$181)),"",IF(VLOOKUP(44,'Teacher Summary Sheet'!$M$19:$R$181,5)=0,"",VLOOKUP(44,'Teacher Summary Sheet'!$M$19:$R$181,5))))</f>
        <v/>
      </c>
      <c r="E1522" s="413"/>
      <c r="F1522" s="414" t="s">
        <v>319</v>
      </c>
      <c r="G1522" s="415"/>
      <c r="H1522" s="416"/>
      <c r="I1522" s="417"/>
      <c r="J1522" s="418"/>
      <c r="K1522" s="414" t="s">
        <v>320</v>
      </c>
      <c r="L1522" s="419"/>
      <c r="M1522" s="419"/>
      <c r="N1522" s="415"/>
      <c r="O1522" s="405" t="s">
        <v>268</v>
      </c>
      <c r="P1522" s="406"/>
      <c r="Q1522" s="63"/>
      <c r="R1522" s="124" t="str">
        <f>IF(NOT(N1538=44),"",IF(OR(ISBLANK(F1521),ISBLANK(I1521),ISBLANK(L1521)),"O","P"))</f>
        <v/>
      </c>
      <c r="S1522" s="108" t="str">
        <f>IF(NOT(N1538=44),"","Date of Birth")</f>
        <v/>
      </c>
      <c r="T1522" s="64"/>
    </row>
    <row r="1523" spans="1:20" ht="14.25" x14ac:dyDescent="0.2">
      <c r="A1523" s="83"/>
      <c r="B1523" s="522" t="s">
        <v>297</v>
      </c>
      <c r="C1523" s="463"/>
      <c r="D1523" s="463"/>
      <c r="E1523" s="463"/>
      <c r="F1523" s="463"/>
      <c r="G1523" s="463"/>
      <c r="H1523" s="463"/>
      <c r="I1523" s="463"/>
      <c r="J1523" s="463"/>
      <c r="K1523" s="463"/>
      <c r="L1523" s="463"/>
      <c r="M1523" s="463"/>
      <c r="N1523" s="463"/>
      <c r="O1523" s="463"/>
      <c r="P1523" s="464"/>
      <c r="Q1523" s="63"/>
      <c r="R1523" s="124" t="str">
        <f>IF(NOT(N1538=44),"",IF(COUNTBLANK(J1516:J1516)=1,"O","P"))</f>
        <v/>
      </c>
      <c r="S1523" s="112" t="str">
        <f>IF(NOT(N1538=44),"","Exam Level")</f>
        <v/>
      </c>
      <c r="T1523" s="64"/>
    </row>
    <row r="1524" spans="1:20" ht="14.25" x14ac:dyDescent="0.2">
      <c r="A1524" s="83"/>
      <c r="B1524" s="465"/>
      <c r="C1524" s="466"/>
      <c r="D1524" s="466"/>
      <c r="E1524" s="466"/>
      <c r="F1524" s="466"/>
      <c r="G1524" s="466"/>
      <c r="H1524" s="466"/>
      <c r="I1524" s="466"/>
      <c r="J1524" s="466"/>
      <c r="K1524" s="466"/>
      <c r="L1524" s="466"/>
      <c r="M1524" s="466"/>
      <c r="N1524" s="466"/>
      <c r="O1524" s="466"/>
      <c r="P1524" s="467"/>
      <c r="Q1524" s="63"/>
      <c r="R1524" s="124" t="str">
        <f>IF(NOT(N1538=44),"",IF(COUNTBLANK(D1522:D1522)=1,"O","P"))</f>
        <v/>
      </c>
      <c r="S1524" s="109" t="str">
        <f>IF(NOT(N1538=44),"","Gender")</f>
        <v/>
      </c>
      <c r="T1524" s="64"/>
    </row>
    <row r="1525" spans="1:20" ht="14.25" x14ac:dyDescent="0.2">
      <c r="A1525" s="83"/>
      <c r="B1525" s="432" t="s">
        <v>298</v>
      </c>
      <c r="C1525" s="433"/>
      <c r="D1525" s="434"/>
      <c r="E1525" s="405"/>
      <c r="F1525" s="406"/>
      <c r="G1525" s="432" t="s">
        <v>299</v>
      </c>
      <c r="H1525" s="433"/>
      <c r="I1525" s="434"/>
      <c r="J1525" s="405"/>
      <c r="K1525" s="448"/>
      <c r="L1525" s="406"/>
      <c r="M1525" s="414" t="s">
        <v>300</v>
      </c>
      <c r="N1525" s="415"/>
      <c r="O1525" s="457"/>
      <c r="P1525" s="458"/>
      <c r="Q1525" s="63"/>
      <c r="R1525" s="124" t="str">
        <f>IF(NOT(N1538=44),"",IF(ISBLANK(H1522),"O","P"))</f>
        <v/>
      </c>
      <c r="S1525" s="109" t="str">
        <f>IF(NOT(N1538=44),"","Height")</f>
        <v/>
      </c>
      <c r="T1525" s="64"/>
    </row>
    <row r="1526" spans="1:20" x14ac:dyDescent="0.2">
      <c r="A1526" s="83"/>
      <c r="B1526" s="77" t="s">
        <v>153</v>
      </c>
      <c r="C1526" s="405"/>
      <c r="D1526" s="406"/>
      <c r="E1526" s="414" t="s">
        <v>301</v>
      </c>
      <c r="F1526" s="415"/>
      <c r="G1526" s="459"/>
      <c r="H1526" s="460"/>
      <c r="I1526" s="461"/>
      <c r="J1526" s="414" t="s">
        <v>302</v>
      </c>
      <c r="K1526" s="415"/>
      <c r="L1526" s="454"/>
      <c r="M1526" s="455"/>
      <c r="N1526" s="455"/>
      <c r="O1526" s="455"/>
      <c r="P1526" s="456"/>
      <c r="Q1526" s="63"/>
      <c r="R1526" s="64"/>
      <c r="S1526" s="64"/>
      <c r="T1526" s="64"/>
    </row>
    <row r="1527" spans="1:20" x14ac:dyDescent="0.2">
      <c r="A1527" s="83"/>
      <c r="B1527" s="410" t="s">
        <v>116</v>
      </c>
      <c r="C1527" s="420"/>
      <c r="D1527" s="420"/>
      <c r="E1527" s="420"/>
      <c r="F1527" s="420"/>
      <c r="G1527" s="420"/>
      <c r="H1527" s="420"/>
      <c r="I1527" s="420"/>
      <c r="J1527" s="420"/>
      <c r="K1527" s="420"/>
      <c r="L1527" s="420"/>
      <c r="M1527" s="420"/>
      <c r="N1527" s="420"/>
      <c r="O1527" s="420"/>
      <c r="P1527" s="411"/>
      <c r="Q1527" s="63"/>
      <c r="R1527" s="64"/>
      <c r="S1527" s="64"/>
      <c r="T1527" s="64"/>
    </row>
    <row r="1528" spans="1:20" x14ac:dyDescent="0.2">
      <c r="A1528" s="83"/>
      <c r="B1528" s="410" t="s">
        <v>298</v>
      </c>
      <c r="C1528" s="420"/>
      <c r="D1528" s="411"/>
      <c r="E1528" s="405"/>
      <c r="F1528" s="406"/>
      <c r="G1528" s="410" t="s">
        <v>299</v>
      </c>
      <c r="H1528" s="420"/>
      <c r="I1528" s="411"/>
      <c r="J1528" s="454"/>
      <c r="K1528" s="455"/>
      <c r="L1528" s="456"/>
      <c r="M1528" s="414" t="s">
        <v>300</v>
      </c>
      <c r="N1528" s="415"/>
      <c r="O1528" s="457"/>
      <c r="P1528" s="458"/>
      <c r="Q1528" s="63"/>
      <c r="R1528" s="64"/>
    </row>
    <row r="1529" spans="1:20" ht="13.5" thickBot="1" x14ac:dyDescent="0.25">
      <c r="A1529" s="83"/>
      <c r="B1529" s="78" t="s">
        <v>153</v>
      </c>
      <c r="C1529" s="492"/>
      <c r="D1529" s="493"/>
      <c r="E1529" s="494" t="s">
        <v>301</v>
      </c>
      <c r="F1529" s="495"/>
      <c r="G1529" s="496"/>
      <c r="H1529" s="497"/>
      <c r="I1529" s="498"/>
      <c r="J1529" s="414" t="s">
        <v>302</v>
      </c>
      <c r="K1529" s="415"/>
      <c r="L1529" s="454"/>
      <c r="M1529" s="455"/>
      <c r="N1529" s="455"/>
      <c r="O1529" s="455"/>
      <c r="P1529" s="456"/>
      <c r="Q1529" s="63"/>
      <c r="R1529" s="64"/>
    </row>
    <row r="1530" spans="1:20" x14ac:dyDescent="0.2">
      <c r="A1530" s="83"/>
      <c r="B1530" s="499" t="s">
        <v>126</v>
      </c>
      <c r="C1530" s="500"/>
      <c r="D1530" s="500"/>
      <c r="E1530" s="500"/>
      <c r="F1530" s="500"/>
      <c r="G1530" s="500"/>
      <c r="H1530" s="500"/>
      <c r="I1530" s="501"/>
      <c r="J1530" s="505"/>
      <c r="K1530" s="506"/>
      <c r="L1530" s="506"/>
      <c r="M1530" s="506"/>
      <c r="N1530" s="506"/>
      <c r="O1530" s="506"/>
      <c r="P1530" s="507"/>
      <c r="Q1530" s="63"/>
      <c r="R1530" s="64"/>
    </row>
    <row r="1531" spans="1:20" x14ac:dyDescent="0.2">
      <c r="A1531" s="83"/>
      <c r="B1531" s="502"/>
      <c r="C1531" s="503"/>
      <c r="D1531" s="503"/>
      <c r="E1531" s="503"/>
      <c r="F1531" s="503"/>
      <c r="G1531" s="503"/>
      <c r="H1531" s="503"/>
      <c r="I1531" s="504"/>
      <c r="J1531" s="508"/>
      <c r="K1531" s="509"/>
      <c r="L1531" s="509"/>
      <c r="M1531" s="509"/>
      <c r="N1531" s="509"/>
      <c r="O1531" s="509"/>
      <c r="P1531" s="510"/>
      <c r="Q1531" s="63"/>
      <c r="R1531" s="64"/>
    </row>
    <row r="1532" spans="1:20" x14ac:dyDescent="0.2">
      <c r="A1532" s="83"/>
      <c r="B1532" s="514" t="s">
        <v>127</v>
      </c>
      <c r="C1532" s="515"/>
      <c r="D1532" s="515"/>
      <c r="E1532" s="515"/>
      <c r="F1532" s="515"/>
      <c r="G1532" s="515"/>
      <c r="H1532" s="515"/>
      <c r="I1532" s="516"/>
      <c r="J1532" s="508"/>
      <c r="K1532" s="509"/>
      <c r="L1532" s="509"/>
      <c r="M1532" s="509"/>
      <c r="N1532" s="509"/>
      <c r="O1532" s="509"/>
      <c r="P1532" s="510"/>
      <c r="Q1532" s="63"/>
      <c r="R1532" s="64"/>
    </row>
    <row r="1533" spans="1:20" ht="13.5" thickBot="1" x14ac:dyDescent="0.25">
      <c r="A1533" s="83"/>
      <c r="B1533" s="517"/>
      <c r="C1533" s="518"/>
      <c r="D1533" s="518"/>
      <c r="E1533" s="518"/>
      <c r="F1533" s="518"/>
      <c r="G1533" s="518"/>
      <c r="H1533" s="518"/>
      <c r="I1533" s="519"/>
      <c r="J1533" s="511"/>
      <c r="K1533" s="512"/>
      <c r="L1533" s="512"/>
      <c r="M1533" s="512"/>
      <c r="N1533" s="512"/>
      <c r="O1533" s="512"/>
      <c r="P1533" s="513"/>
      <c r="Q1533" s="63"/>
      <c r="R1533" s="64"/>
    </row>
    <row r="1534" spans="1:20" x14ac:dyDescent="0.2">
      <c r="A1534" s="83"/>
      <c r="B1534" s="480" t="s">
        <v>10</v>
      </c>
      <c r="C1534" s="481"/>
      <c r="D1534" s="481"/>
      <c r="E1534" s="481"/>
      <c r="F1534" s="481"/>
      <c r="G1534" s="481"/>
      <c r="H1534" s="481"/>
      <c r="I1534" s="482"/>
      <c r="J1534" s="79">
        <v>1</v>
      </c>
      <c r="K1534" s="483"/>
      <c r="L1534" s="484"/>
      <c r="M1534" s="484"/>
      <c r="N1534" s="484"/>
      <c r="O1534" s="484"/>
      <c r="P1534" s="485"/>
      <c r="Q1534" s="63"/>
      <c r="R1534" s="64"/>
    </row>
    <row r="1535" spans="1:20" x14ac:dyDescent="0.2">
      <c r="A1535" s="83"/>
      <c r="B1535" s="486" t="s">
        <v>276</v>
      </c>
      <c r="C1535" s="487"/>
      <c r="D1535" s="487"/>
      <c r="E1535" s="487"/>
      <c r="F1535" s="487"/>
      <c r="G1535" s="487"/>
      <c r="H1535" s="487"/>
      <c r="I1535" s="488"/>
      <c r="J1535" s="80">
        <v>2</v>
      </c>
      <c r="K1535" s="454"/>
      <c r="L1535" s="455"/>
      <c r="M1535" s="455"/>
      <c r="N1535" s="455"/>
      <c r="O1535" s="455"/>
      <c r="P1535" s="456"/>
      <c r="Q1535" s="63"/>
      <c r="R1535" s="64"/>
    </row>
    <row r="1536" spans="1:20" x14ac:dyDescent="0.2">
      <c r="A1536" s="83"/>
      <c r="B1536" s="489" t="s">
        <v>234</v>
      </c>
      <c r="C1536" s="490"/>
      <c r="D1536" s="490"/>
      <c r="E1536" s="490"/>
      <c r="F1536" s="490"/>
      <c r="G1536" s="490"/>
      <c r="H1536" s="490"/>
      <c r="I1536" s="491"/>
      <c r="J1536" s="80">
        <v>3</v>
      </c>
      <c r="K1536" s="454"/>
      <c r="L1536" s="455"/>
      <c r="M1536" s="455"/>
      <c r="N1536" s="455"/>
      <c r="O1536" s="455"/>
      <c r="P1536" s="456"/>
      <c r="Q1536" s="63"/>
      <c r="R1536" s="64"/>
    </row>
    <row r="1537" spans="1:20" x14ac:dyDescent="0.2">
      <c r="A1537" s="83"/>
      <c r="B1537" s="468"/>
      <c r="C1537" s="468"/>
      <c r="D1537" s="468"/>
      <c r="E1537" s="468"/>
      <c r="F1537" s="468"/>
      <c r="G1537" s="468"/>
      <c r="H1537" s="468"/>
      <c r="I1537" s="468"/>
      <c r="J1537" s="468"/>
      <c r="K1537" s="468"/>
      <c r="L1537" s="468"/>
      <c r="M1537" s="468"/>
      <c r="N1537" s="468"/>
      <c r="O1537" s="468"/>
      <c r="P1537" s="468"/>
      <c r="Q1537" s="63"/>
      <c r="R1537" s="64"/>
    </row>
    <row r="1538" spans="1:20" ht="12" customHeight="1" x14ac:dyDescent="0.2">
      <c r="A1538" s="83"/>
      <c r="B1538" s="469" t="s">
        <v>84</v>
      </c>
      <c r="C1538" s="471" t="str">
        <f>IF(CODE(B1538)=89,"This candidate would like to receive Special","This candidate would not like to receive Special")</f>
        <v>This candidate would like to receive Special</v>
      </c>
      <c r="D1538" s="472"/>
      <c r="E1538" s="472"/>
      <c r="F1538" s="472"/>
      <c r="G1538" s="472"/>
      <c r="H1538" s="472"/>
      <c r="I1538" s="473"/>
      <c r="J1538" s="81"/>
      <c r="K1538" s="474" t="s">
        <v>235</v>
      </c>
      <c r="L1538" s="474"/>
      <c r="M1538" s="475"/>
      <c r="N1538" s="51" t="str">
        <f>IF($P$33&gt;=44,44,"")</f>
        <v/>
      </c>
      <c r="O1538" s="62" t="s">
        <v>52</v>
      </c>
      <c r="P1538" s="51" t="str">
        <f>IF($P$33&gt;=44,$P$33,"")</f>
        <v/>
      </c>
      <c r="Q1538" s="63"/>
      <c r="R1538" s="64"/>
    </row>
    <row r="1539" spans="1:20" ht="12" customHeight="1" x14ac:dyDescent="0.2">
      <c r="A1539" s="83"/>
      <c r="B1539" s="470"/>
      <c r="C1539" s="476" t="str">
        <f>IF(CODE(B1538)=89,"Announcements and Bulletins from RAD Canada","Announcements and Bulletins from RAD Canada")</f>
        <v>Announcements and Bulletins from RAD Canada</v>
      </c>
      <c r="D1539" s="477"/>
      <c r="E1539" s="477"/>
      <c r="F1539" s="477"/>
      <c r="G1539" s="477"/>
      <c r="H1539" s="477"/>
      <c r="I1539" s="478"/>
      <c r="J1539" s="479"/>
      <c r="K1539" s="400"/>
      <c r="L1539" s="400"/>
      <c r="M1539" s="400"/>
      <c r="N1539" s="400"/>
      <c r="O1539" s="400"/>
      <c r="P1539" s="400"/>
      <c r="Q1539" s="63"/>
      <c r="R1539" s="64"/>
    </row>
    <row r="1540" spans="1:20" x14ac:dyDescent="0.2">
      <c r="A1540" s="83"/>
      <c r="B1540" s="81"/>
      <c r="C1540" s="81"/>
      <c r="D1540" s="81"/>
      <c r="E1540" s="81"/>
      <c r="F1540" s="81"/>
      <c r="G1540" s="81"/>
      <c r="H1540" s="81"/>
      <c r="I1540" s="81"/>
      <c r="J1540" s="81"/>
      <c r="K1540" s="81"/>
      <c r="L1540" s="81"/>
      <c r="M1540" s="81"/>
      <c r="N1540" s="81"/>
      <c r="O1540" s="81"/>
      <c r="P1540" s="81"/>
      <c r="Q1540" s="63"/>
      <c r="R1540" s="64"/>
    </row>
    <row r="1541" spans="1:20" x14ac:dyDescent="0.2">
      <c r="A1541" s="83"/>
      <c r="B1541" s="62"/>
      <c r="C1541" s="62"/>
      <c r="D1541" s="62"/>
      <c r="E1541" s="62"/>
      <c r="F1541" s="62"/>
      <c r="G1541" s="62"/>
      <c r="H1541" s="62"/>
      <c r="I1541" s="62"/>
      <c r="J1541" s="62"/>
      <c r="K1541" s="62"/>
      <c r="L1541" s="62"/>
      <c r="M1541" s="62"/>
      <c r="N1541" s="62"/>
      <c r="O1541" s="62"/>
      <c r="P1541" s="62"/>
      <c r="Q1541" s="63"/>
      <c r="R1541" s="64"/>
    </row>
    <row r="1542" spans="1:20" x14ac:dyDescent="0.2">
      <c r="A1542" s="83"/>
      <c r="B1542" s="401" t="s">
        <v>281</v>
      </c>
      <c r="C1542" s="402"/>
      <c r="D1542" s="402"/>
      <c r="E1542" s="402"/>
      <c r="F1542" s="402"/>
      <c r="G1542" s="402"/>
      <c r="H1542" s="62"/>
      <c r="I1542" s="62"/>
      <c r="J1542" s="62"/>
      <c r="K1542" s="62"/>
      <c r="L1542" s="62"/>
      <c r="M1542" s="62"/>
      <c r="N1542" s="62"/>
      <c r="O1542" s="62"/>
      <c r="P1542" s="62"/>
      <c r="Q1542" s="63"/>
      <c r="R1542" s="64"/>
    </row>
    <row r="1543" spans="1:20" ht="15.75" x14ac:dyDescent="0.25">
      <c r="A1543" s="83"/>
      <c r="B1543" s="402"/>
      <c r="C1543" s="402"/>
      <c r="D1543" s="402"/>
      <c r="E1543" s="402"/>
      <c r="F1543" s="402"/>
      <c r="G1543" s="402"/>
      <c r="H1543" s="82"/>
      <c r="I1543" s="403"/>
      <c r="J1543" s="403"/>
      <c r="K1543" s="403"/>
      <c r="L1543" s="403"/>
      <c r="M1543" s="403"/>
      <c r="N1543" s="403"/>
      <c r="O1543" s="403"/>
      <c r="P1543" s="403"/>
      <c r="Q1543" s="63"/>
      <c r="R1543" s="64"/>
    </row>
    <row r="1544" spans="1:20" x14ac:dyDescent="0.2">
      <c r="A1544" s="83"/>
      <c r="B1544" s="400"/>
      <c r="C1544" s="400"/>
      <c r="D1544" s="400"/>
      <c r="E1544" s="400"/>
      <c r="F1544" s="400"/>
      <c r="G1544" s="400"/>
      <c r="H1544" s="400"/>
      <c r="I1544" s="400"/>
      <c r="J1544" s="400"/>
      <c r="K1544" s="400"/>
      <c r="L1544" s="400"/>
      <c r="M1544" s="403"/>
      <c r="N1544" s="403"/>
      <c r="O1544" s="403"/>
      <c r="P1544" s="403"/>
      <c r="Q1544" s="63"/>
      <c r="R1544" s="64"/>
    </row>
    <row r="1545" spans="1:20" x14ac:dyDescent="0.2">
      <c r="A1545" s="83"/>
      <c r="B1545" s="404" t="s">
        <v>260</v>
      </c>
      <c r="C1545" s="404"/>
      <c r="D1545" s="404"/>
      <c r="E1545" s="404"/>
      <c r="F1545" s="400"/>
      <c r="G1545" s="400"/>
      <c r="H1545" s="400"/>
      <c r="I1545" s="400"/>
      <c r="J1545" s="400"/>
      <c r="K1545" s="400"/>
      <c r="L1545" s="400"/>
      <c r="M1545" s="403"/>
      <c r="N1545" s="403"/>
      <c r="O1545" s="403"/>
      <c r="P1545" s="403"/>
      <c r="Q1545" s="63"/>
      <c r="R1545" s="64"/>
    </row>
    <row r="1546" spans="1:20" x14ac:dyDescent="0.2">
      <c r="A1546" s="83"/>
      <c r="B1546" s="69"/>
      <c r="C1546" s="324" t="s">
        <v>75</v>
      </c>
      <c r="D1546" s="408"/>
      <c r="E1546" s="409"/>
      <c r="F1546" s="400"/>
      <c r="G1546" s="400"/>
      <c r="H1546" s="400"/>
      <c r="I1546" s="400"/>
      <c r="J1546" s="400"/>
      <c r="K1546" s="400"/>
      <c r="L1546" s="400"/>
      <c r="M1546" s="70"/>
      <c r="N1546" s="70"/>
      <c r="O1546" s="70"/>
      <c r="P1546" s="70"/>
      <c r="Q1546" s="63"/>
      <c r="R1546" s="64"/>
    </row>
    <row r="1547" spans="1:20" x14ac:dyDescent="0.2">
      <c r="A1547" s="83"/>
      <c r="B1547" s="71"/>
      <c r="C1547" s="324" t="s">
        <v>128</v>
      </c>
      <c r="D1547" s="408"/>
      <c r="E1547" s="409"/>
      <c r="F1547" s="400"/>
      <c r="G1547" s="400"/>
      <c r="H1547" s="400"/>
      <c r="I1547" s="400"/>
      <c r="J1547" s="400"/>
      <c r="K1547" s="400"/>
      <c r="L1547" s="400"/>
      <c r="M1547" s="407" t="s">
        <v>256</v>
      </c>
      <c r="N1547" s="407"/>
      <c r="O1547" s="407"/>
      <c r="P1547" s="407"/>
      <c r="Q1547" s="63"/>
      <c r="R1547" s="64"/>
    </row>
    <row r="1548" spans="1:20" x14ac:dyDescent="0.2">
      <c r="A1548" s="83"/>
      <c r="B1548" s="56"/>
      <c r="C1548" s="324" t="s">
        <v>282</v>
      </c>
      <c r="D1548" s="408"/>
      <c r="E1548" s="409"/>
      <c r="F1548" s="400"/>
      <c r="G1548" s="400"/>
      <c r="H1548" s="400"/>
      <c r="I1548" s="400"/>
      <c r="J1548" s="400"/>
      <c r="K1548" s="400"/>
      <c r="L1548" s="400"/>
      <c r="M1548" s="407"/>
      <c r="N1548" s="407"/>
      <c r="O1548" s="407"/>
      <c r="P1548" s="407"/>
      <c r="Q1548" s="63"/>
      <c r="R1548" s="64"/>
    </row>
    <row r="1549" spans="1:20" x14ac:dyDescent="0.2">
      <c r="A1549" s="83"/>
      <c r="B1549" s="520"/>
      <c r="C1549" s="520"/>
      <c r="D1549" s="520"/>
      <c r="E1549" s="520"/>
      <c r="F1549" s="520"/>
      <c r="G1549" s="520"/>
      <c r="H1549" s="520"/>
      <c r="I1549" s="520"/>
      <c r="J1549" s="520"/>
      <c r="K1549" s="520"/>
      <c r="L1549" s="520"/>
      <c r="M1549" s="520"/>
      <c r="N1549" s="520"/>
      <c r="O1549" s="520"/>
      <c r="P1549" s="520"/>
      <c r="Q1549" s="63"/>
      <c r="R1549" s="64"/>
    </row>
    <row r="1550" spans="1:20" x14ac:dyDescent="0.2">
      <c r="A1550" s="83"/>
      <c r="B1550" s="432" t="s">
        <v>117</v>
      </c>
      <c r="C1550" s="433"/>
      <c r="D1550" s="434"/>
      <c r="E1550" s="442" t="str">
        <f>IF(AND($P$33&gt;=45,NOT(ISBLANK($E$10))),$E$10,"")</f>
        <v/>
      </c>
      <c r="F1550" s="443"/>
      <c r="G1550" s="444"/>
      <c r="H1550" s="414" t="s">
        <v>124</v>
      </c>
      <c r="I1550" s="415"/>
      <c r="J1550" s="442" t="str">
        <f>IF(AND($P$33&gt;=45,NOT(ISBLANK($J$10))),$J$10,"")</f>
        <v/>
      </c>
      <c r="K1550" s="443"/>
      <c r="L1550" s="444"/>
      <c r="M1550" s="414" t="s">
        <v>118</v>
      </c>
      <c r="N1550" s="415"/>
      <c r="O1550" s="430" t="str">
        <f>IF(AND($P$33&gt;=45,NOT(ISBLANK($O$10))),$O$10,"")</f>
        <v/>
      </c>
      <c r="P1550" s="521"/>
      <c r="Q1550" s="63"/>
      <c r="R1550" s="545" t="s">
        <v>307</v>
      </c>
      <c r="S1550" s="546"/>
      <c r="T1550" s="547"/>
    </row>
    <row r="1551" spans="1:20" x14ac:dyDescent="0.2">
      <c r="A1551" s="83"/>
      <c r="B1551" s="432" t="s">
        <v>240</v>
      </c>
      <c r="C1551" s="433"/>
      <c r="D1551" s="434"/>
      <c r="E1551" s="435" t="str">
        <f>IF(NOT($N1573=45),"",IF(ISERROR(LOOKUP(45,'Teacher Summary Sheet'!$M$19:$M$181)),"",IF(VLOOKUP(45,'Teacher Summary Sheet'!$M$19:$R$181,2)=0,"",VLOOKUP(45,'Teacher Summary Sheet'!$M$19:$R$181,2))))</f>
        <v/>
      </c>
      <c r="F1551" s="436"/>
      <c r="G1551" s="437"/>
      <c r="H1551" s="438" t="s">
        <v>119</v>
      </c>
      <c r="I1551" s="439"/>
      <c r="J1551" s="102" t="str">
        <f>IF(NOT($N1573=45),"",IF(ISERROR(LOOKUP(45,'Teacher Summary Sheet'!$M$19:$M$181)),"",IF(VLOOKUP(45,'Teacher Summary Sheet'!$M$19:$R$181,6)=0,"",VLOOKUP(45,'Teacher Summary Sheet'!$M$19:$R$181,6))))</f>
        <v/>
      </c>
      <c r="K1551" s="414" t="s">
        <v>179</v>
      </c>
      <c r="L1551" s="419"/>
      <c r="M1551" s="415"/>
      <c r="N1551" s="412" t="str">
        <f>IF(NOT($N1573=45),"",IF(ISERROR(LOOKUP(45,'Teacher Summary Sheet'!$M$19:$M$181)),"",IF('Teacher Summary Sheet'!$F$31=0,"",'Teacher Summary Sheet'!$F$31)))</f>
        <v/>
      </c>
      <c r="O1551" s="440"/>
      <c r="P1551" s="413"/>
      <c r="Q1551" s="63"/>
      <c r="R1551" s="548"/>
      <c r="S1551" s="549"/>
      <c r="T1551" s="550"/>
    </row>
    <row r="1552" spans="1:20" ht="14.25" x14ac:dyDescent="0.2">
      <c r="A1552" s="83"/>
      <c r="B1552" s="410" t="s">
        <v>241</v>
      </c>
      <c r="C1552" s="420"/>
      <c r="D1552" s="411"/>
      <c r="E1552" s="421" t="str">
        <f>IF(NOT($N1573=45),"",IF(ISERROR(LOOKUP(45,'Teacher Summary Sheet'!$M$19:$M$181)),"",IF(VLOOKUP(45,'Teacher Summary Sheet'!$M$19:$R$181,3)=0,"",VLOOKUP(45,'Teacher Summary Sheet'!$M$19:$R$181,3))))</f>
        <v/>
      </c>
      <c r="F1552" s="422"/>
      <c r="G1552" s="422"/>
      <c r="H1552" s="422"/>
      <c r="I1552" s="423"/>
      <c r="J1552" s="414" t="s">
        <v>124</v>
      </c>
      <c r="K1552" s="415"/>
      <c r="L1552" s="424" t="str">
        <f>IF(NOT($N1573=45),"",IF(ISERROR(LOOKUP(45,'Teacher Summary Sheet'!$M$19:$M$181)),"",IF(VLOOKUP(45,'Teacher Summary Sheet'!$M$19:$R$181,4)=0,"",VLOOKUP(45,'Teacher Summary Sheet'!$M$19:$R$181,4))))</f>
        <v/>
      </c>
      <c r="M1552" s="425"/>
      <c r="N1552" s="425"/>
      <c r="O1552" s="425"/>
      <c r="P1552" s="426"/>
      <c r="Q1552" s="63"/>
      <c r="R1552" s="125" t="str">
        <f>IF(NOT(N1573=45),"",IF(COUNTIF(R1554:R1560,"P")=7,"P","O"))</f>
        <v/>
      </c>
      <c r="S1552" s="110" t="str">
        <f>IF(NOT(N1573=45),"",IF(COUNTIF(R1554:R1560,"P")=7,"Complete","Incomplete"))</f>
        <v/>
      </c>
      <c r="T1552" s="111"/>
    </row>
    <row r="1553" spans="1:20" x14ac:dyDescent="0.2">
      <c r="A1553" s="83"/>
      <c r="B1553" s="410" t="s">
        <v>120</v>
      </c>
      <c r="C1553" s="420"/>
      <c r="D1553" s="411"/>
      <c r="E1553" s="427"/>
      <c r="F1553" s="428"/>
      <c r="G1553" s="428"/>
      <c r="H1553" s="428"/>
      <c r="I1553" s="428"/>
      <c r="J1553" s="429"/>
      <c r="K1553" s="62" t="s">
        <v>121</v>
      </c>
      <c r="L1553" s="427"/>
      <c r="M1553" s="428"/>
      <c r="N1553" s="428"/>
      <c r="O1553" s="428"/>
      <c r="P1553" s="429"/>
      <c r="Q1553" s="63"/>
    </row>
    <row r="1554" spans="1:20" ht="14.25" x14ac:dyDescent="0.2">
      <c r="A1554" s="83"/>
      <c r="B1554" s="410" t="s">
        <v>196</v>
      </c>
      <c r="C1554" s="420"/>
      <c r="D1554" s="411"/>
      <c r="E1554" s="427"/>
      <c r="F1554" s="428"/>
      <c r="G1554" s="428"/>
      <c r="H1554" s="428"/>
      <c r="I1554" s="429"/>
      <c r="J1554" s="73" t="s">
        <v>197</v>
      </c>
      <c r="K1554" s="405"/>
      <c r="L1554" s="406"/>
      <c r="M1554" s="414" t="s">
        <v>212</v>
      </c>
      <c r="N1554" s="415"/>
      <c r="O1554" s="405"/>
      <c r="P1554" s="406"/>
      <c r="Q1554" s="63"/>
      <c r="R1554" s="124" t="str">
        <f>IF(NOT(N1573=45),"",IF(OR(COUNTBLANK(E1552:E1552)=1,COUNTBLANK(L1552:L1552)=1),"O","P"))</f>
        <v/>
      </c>
      <c r="S1554" s="108" t="str">
        <f>IF(NOT(N1573=45),"","Candidate Name")</f>
        <v/>
      </c>
      <c r="T1554" s="64"/>
    </row>
    <row r="1555" spans="1:20" ht="14.25" x14ac:dyDescent="0.2">
      <c r="A1555" s="83"/>
      <c r="B1555" s="410" t="s">
        <v>198</v>
      </c>
      <c r="C1555" s="420"/>
      <c r="D1555" s="411"/>
      <c r="E1555" s="454"/>
      <c r="F1555" s="455"/>
      <c r="G1555" s="455"/>
      <c r="H1555" s="456"/>
      <c r="I1555" s="74" t="s">
        <v>199</v>
      </c>
      <c r="J1555" s="427"/>
      <c r="K1555" s="428"/>
      <c r="L1555" s="428"/>
      <c r="M1555" s="428"/>
      <c r="N1555" s="428"/>
      <c r="O1555" s="428"/>
      <c r="P1555" s="429"/>
      <c r="Q1555" s="63"/>
      <c r="R1555" s="124" t="str">
        <f>IF(NOT(N1573=45),"",IF(COUNTBLANK(E1551:E1551)=1,"O","P"))</f>
        <v/>
      </c>
      <c r="S1555" s="108" t="str">
        <f>IF(NOT(N1573=45),"","Candidate ID")</f>
        <v/>
      </c>
      <c r="T1555" s="64"/>
    </row>
    <row r="1556" spans="1:20" ht="14.25" x14ac:dyDescent="0.2">
      <c r="A1556" s="83"/>
      <c r="B1556" s="410" t="s">
        <v>227</v>
      </c>
      <c r="C1556" s="420"/>
      <c r="D1556" s="411"/>
      <c r="E1556" s="75" t="s">
        <v>218</v>
      </c>
      <c r="F1556" s="405"/>
      <c r="G1556" s="448"/>
      <c r="H1556" s="75" t="s">
        <v>138</v>
      </c>
      <c r="I1556" s="449"/>
      <c r="J1556" s="450"/>
      <c r="K1556" s="76" t="s">
        <v>139</v>
      </c>
      <c r="L1556" s="451"/>
      <c r="M1556" s="452"/>
      <c r="N1556" s="76" t="s">
        <v>228</v>
      </c>
      <c r="O1556" s="453" t="str">
        <f ca="1">IF(OR(ISBLANK(L1556),ISBLANK(I1556),ISBLANK(F1556),COUNTBLANK(J1551:J1551)=1),"",IF(DATEDIF(DATE(L1556,VLOOKUP(I1556,data!$T$2:$U$13,2,FALSE),F1556),IF(AND(TODAY()&lt;data!$AJ$12,TODAY()&gt;data!$AI$12),data!$AI$3,data!$AJ$3),"Y")&gt;=data!$AC$47,YEAR(TODAY())-L1556,data!$AD$3))</f>
        <v/>
      </c>
      <c r="P1556" s="413"/>
      <c r="Q1556" s="63"/>
      <c r="R1556" s="124" t="str">
        <f>IF(NOT(N1573=45),"",IF(OR(ISBLANK(E1553),ISBLANK(L1553),ISBLANK(K1554),ISBLANK(O1554)),"O","P"))</f>
        <v/>
      </c>
      <c r="S1556" s="108" t="str">
        <f>IF(NOT(N1573=45),"","Address")</f>
        <v/>
      </c>
      <c r="T1556" s="64"/>
    </row>
    <row r="1557" spans="1:20" ht="15" thickBot="1" x14ac:dyDescent="0.25">
      <c r="A1557" s="83"/>
      <c r="B1557" s="410" t="s">
        <v>214</v>
      </c>
      <c r="C1557" s="411"/>
      <c r="D1557" s="412" t="str">
        <f>IF(NOT($N1573=45),"",IF(ISERROR(LOOKUP(45,'Teacher Summary Sheet'!$M$19:$M$181)),"",IF(VLOOKUP(45,'Teacher Summary Sheet'!$M$19:$R$181,5)=0,"",VLOOKUP(45,'Teacher Summary Sheet'!$M$19:$R$181,5))))</f>
        <v/>
      </c>
      <c r="E1557" s="413"/>
      <c r="F1557" s="414" t="s">
        <v>319</v>
      </c>
      <c r="G1557" s="415"/>
      <c r="H1557" s="416"/>
      <c r="I1557" s="417"/>
      <c r="J1557" s="418"/>
      <c r="K1557" s="414" t="s">
        <v>320</v>
      </c>
      <c r="L1557" s="419"/>
      <c r="M1557" s="419"/>
      <c r="N1557" s="415"/>
      <c r="O1557" s="405" t="s">
        <v>268</v>
      </c>
      <c r="P1557" s="406"/>
      <c r="Q1557" s="63"/>
      <c r="R1557" s="124" t="str">
        <f>IF(NOT(N1573=45),"",IF(OR(ISBLANK(F1556),ISBLANK(I1556),ISBLANK(L1556)),"O","P"))</f>
        <v/>
      </c>
      <c r="S1557" s="108" t="str">
        <f>IF(NOT(N1573=45),"","Date of Birth")</f>
        <v/>
      </c>
      <c r="T1557" s="64"/>
    </row>
    <row r="1558" spans="1:20" ht="14.25" x14ac:dyDescent="0.2">
      <c r="A1558" s="83"/>
      <c r="B1558" s="522" t="s">
        <v>297</v>
      </c>
      <c r="C1558" s="463"/>
      <c r="D1558" s="463"/>
      <c r="E1558" s="463"/>
      <c r="F1558" s="463"/>
      <c r="G1558" s="463"/>
      <c r="H1558" s="463"/>
      <c r="I1558" s="463"/>
      <c r="J1558" s="463"/>
      <c r="K1558" s="463"/>
      <c r="L1558" s="463"/>
      <c r="M1558" s="463"/>
      <c r="N1558" s="463"/>
      <c r="O1558" s="463"/>
      <c r="P1558" s="464"/>
      <c r="Q1558" s="63"/>
      <c r="R1558" s="124" t="str">
        <f>IF(NOT(N1573=45),"",IF(COUNTBLANK(J1551:J1551)=1,"O","P"))</f>
        <v/>
      </c>
      <c r="S1558" s="112" t="str">
        <f>IF(NOT(N1573=45),"","Exam Level")</f>
        <v/>
      </c>
      <c r="T1558" s="64"/>
    </row>
    <row r="1559" spans="1:20" ht="14.25" x14ac:dyDescent="0.2">
      <c r="A1559" s="83"/>
      <c r="B1559" s="465"/>
      <c r="C1559" s="466"/>
      <c r="D1559" s="466"/>
      <c r="E1559" s="466"/>
      <c r="F1559" s="466"/>
      <c r="G1559" s="466"/>
      <c r="H1559" s="466"/>
      <c r="I1559" s="466"/>
      <c r="J1559" s="466"/>
      <c r="K1559" s="466"/>
      <c r="L1559" s="466"/>
      <c r="M1559" s="466"/>
      <c r="N1559" s="466"/>
      <c r="O1559" s="466"/>
      <c r="P1559" s="467"/>
      <c r="Q1559" s="63"/>
      <c r="R1559" s="124" t="str">
        <f>IF(NOT(N1573=45),"",IF(COUNTBLANK(D1557:D1557)=1,"O","P"))</f>
        <v/>
      </c>
      <c r="S1559" s="109" t="str">
        <f>IF(NOT(N1573=45),"","Gender")</f>
        <v/>
      </c>
      <c r="T1559" s="64"/>
    </row>
    <row r="1560" spans="1:20" ht="14.25" x14ac:dyDescent="0.2">
      <c r="A1560" s="83"/>
      <c r="B1560" s="432" t="s">
        <v>298</v>
      </c>
      <c r="C1560" s="433"/>
      <c r="D1560" s="434"/>
      <c r="E1560" s="405"/>
      <c r="F1560" s="406"/>
      <c r="G1560" s="432" t="s">
        <v>299</v>
      </c>
      <c r="H1560" s="433"/>
      <c r="I1560" s="434"/>
      <c r="J1560" s="405"/>
      <c r="K1560" s="448"/>
      <c r="L1560" s="406"/>
      <c r="M1560" s="414" t="s">
        <v>300</v>
      </c>
      <c r="N1560" s="415"/>
      <c r="O1560" s="457"/>
      <c r="P1560" s="458"/>
      <c r="Q1560" s="63"/>
      <c r="R1560" s="124" t="str">
        <f>IF(NOT(N1573=45),"",IF(ISBLANK(H1557),"O","P"))</f>
        <v/>
      </c>
      <c r="S1560" s="109" t="str">
        <f>IF(NOT(N1573=45),"","Height")</f>
        <v/>
      </c>
      <c r="T1560" s="64"/>
    </row>
    <row r="1561" spans="1:20" x14ac:dyDescent="0.2">
      <c r="A1561" s="83"/>
      <c r="B1561" s="77" t="s">
        <v>153</v>
      </c>
      <c r="C1561" s="405"/>
      <c r="D1561" s="406"/>
      <c r="E1561" s="414" t="s">
        <v>301</v>
      </c>
      <c r="F1561" s="415"/>
      <c r="G1561" s="459"/>
      <c r="H1561" s="460"/>
      <c r="I1561" s="461"/>
      <c r="J1561" s="414" t="s">
        <v>302</v>
      </c>
      <c r="K1561" s="415"/>
      <c r="L1561" s="454"/>
      <c r="M1561" s="455"/>
      <c r="N1561" s="455"/>
      <c r="O1561" s="455"/>
      <c r="P1561" s="456"/>
      <c r="Q1561" s="63"/>
      <c r="R1561" s="64"/>
      <c r="S1561" s="64"/>
      <c r="T1561" s="64"/>
    </row>
    <row r="1562" spans="1:20" x14ac:dyDescent="0.2">
      <c r="A1562" s="83"/>
      <c r="B1562" s="410" t="s">
        <v>116</v>
      </c>
      <c r="C1562" s="420"/>
      <c r="D1562" s="420"/>
      <c r="E1562" s="420"/>
      <c r="F1562" s="420"/>
      <c r="G1562" s="420"/>
      <c r="H1562" s="420"/>
      <c r="I1562" s="420"/>
      <c r="J1562" s="420"/>
      <c r="K1562" s="420"/>
      <c r="L1562" s="420"/>
      <c r="M1562" s="420"/>
      <c r="N1562" s="420"/>
      <c r="O1562" s="420"/>
      <c r="P1562" s="411"/>
      <c r="Q1562" s="63"/>
      <c r="R1562" s="64"/>
      <c r="S1562" s="64"/>
      <c r="T1562" s="64"/>
    </row>
    <row r="1563" spans="1:20" x14ac:dyDescent="0.2">
      <c r="A1563" s="83"/>
      <c r="B1563" s="410" t="s">
        <v>298</v>
      </c>
      <c r="C1563" s="420"/>
      <c r="D1563" s="411"/>
      <c r="E1563" s="405"/>
      <c r="F1563" s="406"/>
      <c r="G1563" s="410" t="s">
        <v>299</v>
      </c>
      <c r="H1563" s="420"/>
      <c r="I1563" s="411"/>
      <c r="J1563" s="454"/>
      <c r="K1563" s="455"/>
      <c r="L1563" s="456"/>
      <c r="M1563" s="414" t="s">
        <v>300</v>
      </c>
      <c r="N1563" s="415"/>
      <c r="O1563" s="457"/>
      <c r="P1563" s="458"/>
      <c r="Q1563" s="63"/>
      <c r="R1563" s="64"/>
    </row>
    <row r="1564" spans="1:20" ht="13.5" thickBot="1" x14ac:dyDescent="0.25">
      <c r="A1564" s="83"/>
      <c r="B1564" s="78" t="s">
        <v>153</v>
      </c>
      <c r="C1564" s="492"/>
      <c r="D1564" s="493"/>
      <c r="E1564" s="494" t="s">
        <v>301</v>
      </c>
      <c r="F1564" s="495"/>
      <c r="G1564" s="496"/>
      <c r="H1564" s="497"/>
      <c r="I1564" s="498"/>
      <c r="J1564" s="414" t="s">
        <v>302</v>
      </c>
      <c r="K1564" s="415"/>
      <c r="L1564" s="454"/>
      <c r="M1564" s="455"/>
      <c r="N1564" s="455"/>
      <c r="O1564" s="455"/>
      <c r="P1564" s="456"/>
      <c r="Q1564" s="63"/>
      <c r="R1564" s="64"/>
    </row>
    <row r="1565" spans="1:20" x14ac:dyDescent="0.2">
      <c r="A1565" s="83"/>
      <c r="B1565" s="499" t="s">
        <v>126</v>
      </c>
      <c r="C1565" s="500"/>
      <c r="D1565" s="500"/>
      <c r="E1565" s="500"/>
      <c r="F1565" s="500"/>
      <c r="G1565" s="500"/>
      <c r="H1565" s="500"/>
      <c r="I1565" s="501"/>
      <c r="J1565" s="505"/>
      <c r="K1565" s="506"/>
      <c r="L1565" s="506"/>
      <c r="M1565" s="506"/>
      <c r="N1565" s="506"/>
      <c r="O1565" s="506"/>
      <c r="P1565" s="507"/>
      <c r="Q1565" s="63"/>
      <c r="R1565" s="64"/>
    </row>
    <row r="1566" spans="1:20" x14ac:dyDescent="0.2">
      <c r="A1566" s="83"/>
      <c r="B1566" s="502"/>
      <c r="C1566" s="503"/>
      <c r="D1566" s="503"/>
      <c r="E1566" s="503"/>
      <c r="F1566" s="503"/>
      <c r="G1566" s="503"/>
      <c r="H1566" s="503"/>
      <c r="I1566" s="504"/>
      <c r="J1566" s="508"/>
      <c r="K1566" s="509"/>
      <c r="L1566" s="509"/>
      <c r="M1566" s="509"/>
      <c r="N1566" s="509"/>
      <c r="O1566" s="509"/>
      <c r="P1566" s="510"/>
      <c r="Q1566" s="63"/>
      <c r="R1566" s="64"/>
    </row>
    <row r="1567" spans="1:20" x14ac:dyDescent="0.2">
      <c r="A1567" s="83"/>
      <c r="B1567" s="514" t="s">
        <v>127</v>
      </c>
      <c r="C1567" s="515"/>
      <c r="D1567" s="515"/>
      <c r="E1567" s="515"/>
      <c r="F1567" s="515"/>
      <c r="G1567" s="515"/>
      <c r="H1567" s="515"/>
      <c r="I1567" s="516"/>
      <c r="J1567" s="508"/>
      <c r="K1567" s="509"/>
      <c r="L1567" s="509"/>
      <c r="M1567" s="509"/>
      <c r="N1567" s="509"/>
      <c r="O1567" s="509"/>
      <c r="P1567" s="510"/>
      <c r="Q1567" s="63"/>
      <c r="R1567" s="64"/>
    </row>
    <row r="1568" spans="1:20" ht="13.5" thickBot="1" x14ac:dyDescent="0.25">
      <c r="A1568" s="83"/>
      <c r="B1568" s="517"/>
      <c r="C1568" s="518"/>
      <c r="D1568" s="518"/>
      <c r="E1568" s="518"/>
      <c r="F1568" s="518"/>
      <c r="G1568" s="518"/>
      <c r="H1568" s="518"/>
      <c r="I1568" s="519"/>
      <c r="J1568" s="511"/>
      <c r="K1568" s="512"/>
      <c r="L1568" s="512"/>
      <c r="M1568" s="512"/>
      <c r="N1568" s="512"/>
      <c r="O1568" s="512"/>
      <c r="P1568" s="513"/>
      <c r="Q1568" s="63"/>
      <c r="R1568" s="64"/>
    </row>
    <row r="1569" spans="1:18" x14ac:dyDescent="0.2">
      <c r="A1569" s="83"/>
      <c r="B1569" s="480" t="s">
        <v>10</v>
      </c>
      <c r="C1569" s="481"/>
      <c r="D1569" s="481"/>
      <c r="E1569" s="481"/>
      <c r="F1569" s="481"/>
      <c r="G1569" s="481"/>
      <c r="H1569" s="481"/>
      <c r="I1569" s="482"/>
      <c r="J1569" s="79">
        <v>1</v>
      </c>
      <c r="K1569" s="483"/>
      <c r="L1569" s="484"/>
      <c r="M1569" s="484"/>
      <c r="N1569" s="484"/>
      <c r="O1569" s="484"/>
      <c r="P1569" s="485"/>
      <c r="Q1569" s="63"/>
      <c r="R1569" s="64"/>
    </row>
    <row r="1570" spans="1:18" x14ac:dyDescent="0.2">
      <c r="A1570" s="83"/>
      <c r="B1570" s="486" t="s">
        <v>276</v>
      </c>
      <c r="C1570" s="487"/>
      <c r="D1570" s="487"/>
      <c r="E1570" s="487"/>
      <c r="F1570" s="487"/>
      <c r="G1570" s="487"/>
      <c r="H1570" s="487"/>
      <c r="I1570" s="488"/>
      <c r="J1570" s="80">
        <v>2</v>
      </c>
      <c r="K1570" s="454"/>
      <c r="L1570" s="455"/>
      <c r="M1570" s="455"/>
      <c r="N1570" s="455"/>
      <c r="O1570" s="455"/>
      <c r="P1570" s="456"/>
      <c r="Q1570" s="63"/>
      <c r="R1570" s="64"/>
    </row>
    <row r="1571" spans="1:18" x14ac:dyDescent="0.2">
      <c r="A1571" s="83"/>
      <c r="B1571" s="489" t="s">
        <v>234</v>
      </c>
      <c r="C1571" s="490"/>
      <c r="D1571" s="490"/>
      <c r="E1571" s="490"/>
      <c r="F1571" s="490"/>
      <c r="G1571" s="490"/>
      <c r="H1571" s="490"/>
      <c r="I1571" s="491"/>
      <c r="J1571" s="80">
        <v>3</v>
      </c>
      <c r="K1571" s="454"/>
      <c r="L1571" s="455"/>
      <c r="M1571" s="455"/>
      <c r="N1571" s="455"/>
      <c r="O1571" s="455"/>
      <c r="P1571" s="456"/>
      <c r="Q1571" s="63"/>
      <c r="R1571" s="64"/>
    </row>
    <row r="1572" spans="1:18" x14ac:dyDescent="0.2">
      <c r="A1572" s="83"/>
      <c r="B1572" s="468"/>
      <c r="C1572" s="468"/>
      <c r="D1572" s="468"/>
      <c r="E1572" s="468"/>
      <c r="F1572" s="468"/>
      <c r="G1572" s="468"/>
      <c r="H1572" s="468"/>
      <c r="I1572" s="468"/>
      <c r="J1572" s="468"/>
      <c r="K1572" s="468"/>
      <c r="L1572" s="468"/>
      <c r="M1572" s="468"/>
      <c r="N1572" s="468"/>
      <c r="O1572" s="468"/>
      <c r="P1572" s="468"/>
      <c r="Q1572" s="63"/>
      <c r="R1572" s="64"/>
    </row>
    <row r="1573" spans="1:18" ht="12" customHeight="1" x14ac:dyDescent="0.2">
      <c r="A1573" s="83"/>
      <c r="B1573" s="469" t="s">
        <v>84</v>
      </c>
      <c r="C1573" s="471" t="str">
        <f>IF(CODE(B1573)=89,"This candidate would like to receive Special","This candidate would not like to receive Special")</f>
        <v>This candidate would like to receive Special</v>
      </c>
      <c r="D1573" s="472"/>
      <c r="E1573" s="472"/>
      <c r="F1573" s="472"/>
      <c r="G1573" s="472"/>
      <c r="H1573" s="472"/>
      <c r="I1573" s="473"/>
      <c r="J1573" s="81"/>
      <c r="K1573" s="474" t="s">
        <v>205</v>
      </c>
      <c r="L1573" s="474"/>
      <c r="M1573" s="475"/>
      <c r="N1573" s="51" t="str">
        <f>IF($P$33&gt;=45,45,"")</f>
        <v/>
      </c>
      <c r="O1573" s="62" t="s">
        <v>52</v>
      </c>
      <c r="P1573" s="51" t="str">
        <f>IF($P$33&gt;=45,$P$33,"")</f>
        <v/>
      </c>
      <c r="Q1573" s="63"/>
      <c r="R1573" s="64"/>
    </row>
    <row r="1574" spans="1:18" ht="12" customHeight="1" x14ac:dyDescent="0.2">
      <c r="A1574" s="83"/>
      <c r="B1574" s="470"/>
      <c r="C1574" s="476" t="str">
        <f>IF(CODE(B1573)=89,"Announcements and Bulletins from RAD Canada","Announcements and Bulletins from RAD Canada")</f>
        <v>Announcements and Bulletins from RAD Canada</v>
      </c>
      <c r="D1574" s="477"/>
      <c r="E1574" s="477"/>
      <c r="F1574" s="477"/>
      <c r="G1574" s="477"/>
      <c r="H1574" s="477"/>
      <c r="I1574" s="478"/>
      <c r="J1574" s="479"/>
      <c r="K1574" s="400"/>
      <c r="L1574" s="400"/>
      <c r="M1574" s="400"/>
      <c r="N1574" s="400"/>
      <c r="O1574" s="400"/>
      <c r="P1574" s="400"/>
      <c r="Q1574" s="63"/>
      <c r="R1574" s="64"/>
    </row>
    <row r="1575" spans="1:18" x14ac:dyDescent="0.2">
      <c r="A1575" s="83"/>
      <c r="B1575" s="81"/>
      <c r="C1575" s="81"/>
      <c r="D1575" s="81"/>
      <c r="E1575" s="81"/>
      <c r="F1575" s="81"/>
      <c r="G1575" s="81"/>
      <c r="H1575" s="81"/>
      <c r="I1575" s="81"/>
      <c r="J1575" s="81"/>
      <c r="K1575" s="81"/>
      <c r="L1575" s="81"/>
      <c r="M1575" s="81"/>
      <c r="N1575" s="81"/>
      <c r="O1575" s="81"/>
      <c r="P1575" s="81"/>
      <c r="Q1575" s="63"/>
      <c r="R1575" s="64"/>
    </row>
    <row r="1576" spans="1:18" x14ac:dyDescent="0.2">
      <c r="A1576" s="83"/>
      <c r="B1576" s="62"/>
      <c r="C1576" s="62"/>
      <c r="D1576" s="62"/>
      <c r="E1576" s="62"/>
      <c r="F1576" s="62"/>
      <c r="G1576" s="62"/>
      <c r="H1576" s="62"/>
      <c r="I1576" s="62"/>
      <c r="J1576" s="62"/>
      <c r="K1576" s="62"/>
      <c r="L1576" s="62"/>
      <c r="M1576" s="62"/>
      <c r="N1576" s="62"/>
      <c r="O1576" s="62"/>
      <c r="P1576" s="62"/>
      <c r="Q1576" s="63"/>
      <c r="R1576" s="64"/>
    </row>
    <row r="1577" spans="1:18" x14ac:dyDescent="0.2">
      <c r="A1577" s="83"/>
      <c r="B1577" s="401" t="s">
        <v>233</v>
      </c>
      <c r="C1577" s="402"/>
      <c r="D1577" s="402"/>
      <c r="E1577" s="402"/>
      <c r="F1577" s="402"/>
      <c r="G1577" s="402"/>
      <c r="H1577" s="62"/>
      <c r="I1577" s="62"/>
      <c r="J1577" s="62"/>
      <c r="K1577" s="62"/>
      <c r="L1577" s="62"/>
      <c r="M1577" s="62"/>
      <c r="N1577" s="62"/>
      <c r="O1577" s="62"/>
      <c r="P1577" s="62"/>
      <c r="Q1577" s="63"/>
      <c r="R1577" s="64"/>
    </row>
    <row r="1578" spans="1:18" ht="15.75" x14ac:dyDescent="0.25">
      <c r="A1578" s="83"/>
      <c r="B1578" s="402"/>
      <c r="C1578" s="402"/>
      <c r="D1578" s="402"/>
      <c r="E1578" s="402"/>
      <c r="F1578" s="402"/>
      <c r="G1578" s="402"/>
      <c r="H1578" s="82"/>
      <c r="I1578" s="403"/>
      <c r="J1578" s="403"/>
      <c r="K1578" s="403"/>
      <c r="L1578" s="403"/>
      <c r="M1578" s="403"/>
      <c r="N1578" s="403"/>
      <c r="O1578" s="403"/>
      <c r="P1578" s="403"/>
      <c r="Q1578" s="63"/>
      <c r="R1578" s="64"/>
    </row>
    <row r="1579" spans="1:18" x14ac:dyDescent="0.2">
      <c r="A1579" s="83"/>
      <c r="B1579" s="400"/>
      <c r="C1579" s="400"/>
      <c r="D1579" s="400"/>
      <c r="E1579" s="400"/>
      <c r="F1579" s="400"/>
      <c r="G1579" s="400"/>
      <c r="H1579" s="400"/>
      <c r="I1579" s="400"/>
      <c r="J1579" s="400"/>
      <c r="K1579" s="400"/>
      <c r="L1579" s="400"/>
      <c r="M1579" s="403"/>
      <c r="N1579" s="403"/>
      <c r="O1579" s="403"/>
      <c r="P1579" s="403"/>
      <c r="Q1579" s="63"/>
      <c r="R1579" s="64"/>
    </row>
    <row r="1580" spans="1:18" x14ac:dyDescent="0.2">
      <c r="A1580" s="83"/>
      <c r="B1580" s="404" t="s">
        <v>260</v>
      </c>
      <c r="C1580" s="404"/>
      <c r="D1580" s="404"/>
      <c r="E1580" s="404"/>
      <c r="F1580" s="400"/>
      <c r="G1580" s="400"/>
      <c r="H1580" s="400"/>
      <c r="I1580" s="400"/>
      <c r="J1580" s="400"/>
      <c r="K1580" s="400"/>
      <c r="L1580" s="400"/>
      <c r="M1580" s="403"/>
      <c r="N1580" s="403"/>
      <c r="O1580" s="403"/>
      <c r="P1580" s="403"/>
      <c r="Q1580" s="63"/>
      <c r="R1580" s="64"/>
    </row>
    <row r="1581" spans="1:18" x14ac:dyDescent="0.2">
      <c r="A1581" s="83"/>
      <c r="B1581" s="69"/>
      <c r="C1581" s="324" t="s">
        <v>75</v>
      </c>
      <c r="D1581" s="408"/>
      <c r="E1581" s="409"/>
      <c r="F1581" s="400"/>
      <c r="G1581" s="400"/>
      <c r="H1581" s="400"/>
      <c r="I1581" s="400"/>
      <c r="J1581" s="400"/>
      <c r="K1581" s="400"/>
      <c r="L1581" s="400"/>
      <c r="M1581" s="70"/>
      <c r="N1581" s="70"/>
      <c r="O1581" s="70"/>
      <c r="P1581" s="70"/>
      <c r="Q1581" s="63"/>
      <c r="R1581" s="64"/>
    </row>
    <row r="1582" spans="1:18" x14ac:dyDescent="0.2">
      <c r="A1582" s="83"/>
      <c r="B1582" s="71"/>
      <c r="C1582" s="324" t="s">
        <v>128</v>
      </c>
      <c r="D1582" s="408"/>
      <c r="E1582" s="409"/>
      <c r="F1582" s="400"/>
      <c r="G1582" s="400"/>
      <c r="H1582" s="400"/>
      <c r="I1582" s="400"/>
      <c r="J1582" s="400"/>
      <c r="K1582" s="400"/>
      <c r="L1582" s="400"/>
      <c r="M1582" s="407" t="s">
        <v>256</v>
      </c>
      <c r="N1582" s="407"/>
      <c r="O1582" s="407"/>
      <c r="P1582" s="407"/>
      <c r="Q1582" s="63"/>
      <c r="R1582" s="64"/>
    </row>
    <row r="1583" spans="1:18" x14ac:dyDescent="0.2">
      <c r="A1583" s="83"/>
      <c r="B1583" s="56"/>
      <c r="C1583" s="324" t="s">
        <v>275</v>
      </c>
      <c r="D1583" s="408"/>
      <c r="E1583" s="409"/>
      <c r="F1583" s="400"/>
      <c r="G1583" s="400"/>
      <c r="H1583" s="400"/>
      <c r="I1583" s="400"/>
      <c r="J1583" s="400"/>
      <c r="K1583" s="400"/>
      <c r="L1583" s="400"/>
      <c r="M1583" s="407"/>
      <c r="N1583" s="407"/>
      <c r="O1583" s="407"/>
      <c r="P1583" s="407"/>
      <c r="Q1583" s="63"/>
      <c r="R1583" s="64"/>
    </row>
    <row r="1584" spans="1:18" x14ac:dyDescent="0.2">
      <c r="A1584" s="83"/>
      <c r="B1584" s="520"/>
      <c r="C1584" s="520"/>
      <c r="D1584" s="520"/>
      <c r="E1584" s="520"/>
      <c r="F1584" s="520"/>
      <c r="G1584" s="520"/>
      <c r="H1584" s="520"/>
      <c r="I1584" s="520"/>
      <c r="J1584" s="520"/>
      <c r="K1584" s="520"/>
      <c r="L1584" s="520"/>
      <c r="M1584" s="520"/>
      <c r="N1584" s="520"/>
      <c r="O1584" s="520"/>
      <c r="P1584" s="520"/>
      <c r="Q1584" s="63"/>
      <c r="R1584" s="64"/>
    </row>
    <row r="1585" spans="1:20" x14ac:dyDescent="0.2">
      <c r="A1585" s="83"/>
      <c r="B1585" s="432" t="s">
        <v>117</v>
      </c>
      <c r="C1585" s="433"/>
      <c r="D1585" s="434"/>
      <c r="E1585" s="442" t="str">
        <f>IF(AND($P$33&gt;=46,NOT(ISBLANK($E$10))),$E$10,"")</f>
        <v/>
      </c>
      <c r="F1585" s="443"/>
      <c r="G1585" s="444"/>
      <c r="H1585" s="414" t="s">
        <v>124</v>
      </c>
      <c r="I1585" s="415"/>
      <c r="J1585" s="442" t="str">
        <f>IF(AND($P$33&gt;=46,NOT(ISBLANK($J$10))),$J$10,"")</f>
        <v/>
      </c>
      <c r="K1585" s="443"/>
      <c r="L1585" s="444"/>
      <c r="M1585" s="414" t="s">
        <v>118</v>
      </c>
      <c r="N1585" s="415"/>
      <c r="O1585" s="430" t="str">
        <f>IF(AND($P$33&gt;=46,NOT(ISBLANK($O$10))),$O$10,"")</f>
        <v/>
      </c>
      <c r="P1585" s="521"/>
      <c r="Q1585" s="63"/>
      <c r="R1585" s="545" t="s">
        <v>307</v>
      </c>
      <c r="S1585" s="546"/>
      <c r="T1585" s="547"/>
    </row>
    <row r="1586" spans="1:20" x14ac:dyDescent="0.2">
      <c r="A1586" s="83"/>
      <c r="B1586" s="432" t="s">
        <v>240</v>
      </c>
      <c r="C1586" s="433"/>
      <c r="D1586" s="434"/>
      <c r="E1586" s="435" t="str">
        <f>IF(NOT($N1608=46),"",IF(ISERROR(LOOKUP(46,'Teacher Summary Sheet'!$M$19:$M$181)),"",IF(VLOOKUP(46,'Teacher Summary Sheet'!$M$19:$R$181,2)=0,"",VLOOKUP(46,'Teacher Summary Sheet'!$M$19:$R$181,2))))</f>
        <v/>
      </c>
      <c r="F1586" s="436"/>
      <c r="G1586" s="437"/>
      <c r="H1586" s="438" t="s">
        <v>119</v>
      </c>
      <c r="I1586" s="439"/>
      <c r="J1586" s="102" t="str">
        <f>IF(NOT($N1608=46),"",IF(ISERROR(LOOKUP(46,'Teacher Summary Sheet'!$M$19:$M$181)),"",IF(VLOOKUP(46,'Teacher Summary Sheet'!$M$19:$R$181,6)=0,"",VLOOKUP(46,'Teacher Summary Sheet'!$M$19:$R$181,6))))</f>
        <v/>
      </c>
      <c r="K1586" s="414" t="s">
        <v>179</v>
      </c>
      <c r="L1586" s="419"/>
      <c r="M1586" s="415"/>
      <c r="N1586" s="412" t="str">
        <f>IF(NOT($N1608=46),"",IF(ISERROR(LOOKUP(46,'Teacher Summary Sheet'!$M$19:$M$181)),"",IF('Teacher Summary Sheet'!$F$31=0,"",'Teacher Summary Sheet'!$F$31)))</f>
        <v/>
      </c>
      <c r="O1586" s="440"/>
      <c r="P1586" s="413"/>
      <c r="Q1586" s="63"/>
      <c r="R1586" s="548"/>
      <c r="S1586" s="549"/>
      <c r="T1586" s="550"/>
    </row>
    <row r="1587" spans="1:20" ht="14.25" x14ac:dyDescent="0.2">
      <c r="A1587" s="83"/>
      <c r="B1587" s="410" t="s">
        <v>241</v>
      </c>
      <c r="C1587" s="420"/>
      <c r="D1587" s="411"/>
      <c r="E1587" s="421" t="str">
        <f>IF(NOT($N1608=46),"",IF(ISERROR(LOOKUP(46,'Teacher Summary Sheet'!$M$19:$M$181)),"",IF(VLOOKUP(46,'Teacher Summary Sheet'!$M$19:$R$181,3)=0,"",VLOOKUP(46,'Teacher Summary Sheet'!$M$19:$R$181,3))))</f>
        <v/>
      </c>
      <c r="F1587" s="422"/>
      <c r="G1587" s="422"/>
      <c r="H1587" s="422"/>
      <c r="I1587" s="423"/>
      <c r="J1587" s="414" t="s">
        <v>124</v>
      </c>
      <c r="K1587" s="415"/>
      <c r="L1587" s="424" t="str">
        <f>IF(NOT($N1608=46),"",IF(ISERROR(LOOKUP(46,'Teacher Summary Sheet'!$M$19:$M$181)),"",IF(VLOOKUP(46,'Teacher Summary Sheet'!$M$19:$R$181,4)=0,"",VLOOKUP(46,'Teacher Summary Sheet'!$M$19:$R$181,4))))</f>
        <v/>
      </c>
      <c r="M1587" s="425"/>
      <c r="N1587" s="425"/>
      <c r="O1587" s="425"/>
      <c r="P1587" s="426"/>
      <c r="Q1587" s="63"/>
      <c r="R1587" s="125" t="str">
        <f>IF(NOT(N1608=46),"",IF(COUNTIF(R1589:R1595,"P")=7,"P","O"))</f>
        <v/>
      </c>
      <c r="S1587" s="110" t="str">
        <f>IF(NOT(N1608=46),"",IF(COUNTIF(R1589:R1595,"P")=7,"Complete","Incomplete"))</f>
        <v/>
      </c>
      <c r="T1587" s="111"/>
    </row>
    <row r="1588" spans="1:20" x14ac:dyDescent="0.2">
      <c r="A1588" s="83"/>
      <c r="B1588" s="410" t="s">
        <v>120</v>
      </c>
      <c r="C1588" s="420"/>
      <c r="D1588" s="411"/>
      <c r="E1588" s="427"/>
      <c r="F1588" s="428"/>
      <c r="G1588" s="428"/>
      <c r="H1588" s="428"/>
      <c r="I1588" s="428"/>
      <c r="J1588" s="429"/>
      <c r="K1588" s="62" t="s">
        <v>121</v>
      </c>
      <c r="L1588" s="427"/>
      <c r="M1588" s="428"/>
      <c r="N1588" s="428"/>
      <c r="O1588" s="428"/>
      <c r="P1588" s="429"/>
      <c r="Q1588" s="63"/>
    </row>
    <row r="1589" spans="1:20" ht="14.25" x14ac:dyDescent="0.2">
      <c r="A1589" s="83"/>
      <c r="B1589" s="410" t="s">
        <v>196</v>
      </c>
      <c r="C1589" s="420"/>
      <c r="D1589" s="411"/>
      <c r="E1589" s="427"/>
      <c r="F1589" s="428"/>
      <c r="G1589" s="428"/>
      <c r="H1589" s="428"/>
      <c r="I1589" s="429"/>
      <c r="J1589" s="73" t="s">
        <v>197</v>
      </c>
      <c r="K1589" s="405"/>
      <c r="L1589" s="406"/>
      <c r="M1589" s="414" t="s">
        <v>212</v>
      </c>
      <c r="N1589" s="415"/>
      <c r="O1589" s="405"/>
      <c r="P1589" s="406"/>
      <c r="Q1589" s="63"/>
      <c r="R1589" s="124" t="str">
        <f>IF(NOT(N1608=46),"",IF(OR(COUNTBLANK(E1587:E1587)=1,COUNTBLANK(L1587:L1587)=1),"O","P"))</f>
        <v/>
      </c>
      <c r="S1589" s="108" t="str">
        <f>IF(NOT(N1608=46),"","Candidate Name")</f>
        <v/>
      </c>
      <c r="T1589" s="64"/>
    </row>
    <row r="1590" spans="1:20" ht="14.25" x14ac:dyDescent="0.2">
      <c r="A1590" s="83"/>
      <c r="B1590" s="410" t="s">
        <v>198</v>
      </c>
      <c r="C1590" s="420"/>
      <c r="D1590" s="411"/>
      <c r="E1590" s="454"/>
      <c r="F1590" s="455"/>
      <c r="G1590" s="455"/>
      <c r="H1590" s="456"/>
      <c r="I1590" s="74" t="s">
        <v>199</v>
      </c>
      <c r="J1590" s="427"/>
      <c r="K1590" s="428"/>
      <c r="L1590" s="428"/>
      <c r="M1590" s="428"/>
      <c r="N1590" s="428"/>
      <c r="O1590" s="428"/>
      <c r="P1590" s="429"/>
      <c r="Q1590" s="63"/>
      <c r="R1590" s="124" t="str">
        <f>IF(NOT(N1608=46),"",IF(COUNTBLANK(E1586:E1586)=1,"O","P"))</f>
        <v/>
      </c>
      <c r="S1590" s="108" t="str">
        <f>IF(NOT(N1608=46),"","Candidate ID")</f>
        <v/>
      </c>
      <c r="T1590" s="64"/>
    </row>
    <row r="1591" spans="1:20" ht="14.25" x14ac:dyDescent="0.2">
      <c r="A1591" s="83"/>
      <c r="B1591" s="410" t="s">
        <v>227</v>
      </c>
      <c r="C1591" s="420"/>
      <c r="D1591" s="411"/>
      <c r="E1591" s="75" t="s">
        <v>218</v>
      </c>
      <c r="F1591" s="405"/>
      <c r="G1591" s="448"/>
      <c r="H1591" s="75" t="s">
        <v>138</v>
      </c>
      <c r="I1591" s="449"/>
      <c r="J1591" s="450"/>
      <c r="K1591" s="76" t="s">
        <v>139</v>
      </c>
      <c r="L1591" s="451"/>
      <c r="M1591" s="452"/>
      <c r="N1591" s="76" t="s">
        <v>228</v>
      </c>
      <c r="O1591" s="453" t="str">
        <f ca="1">IF(OR(ISBLANK(L1591),ISBLANK(I1591),ISBLANK(F1591),COUNTBLANK(J1586:J1586)=1),"",IF(DATEDIF(DATE(L1591,VLOOKUP(I1591,data!$T$2:$U$13,2,FALSE),F1591),IF(AND(TODAY()&lt;data!$AJ$12,TODAY()&gt;data!$AI$12),data!$AI$3,data!$AJ$3),"Y")&gt;=data!$AC$48,YEAR(TODAY())-L1591,data!$AD$3))</f>
        <v/>
      </c>
      <c r="P1591" s="413"/>
      <c r="Q1591" s="63"/>
      <c r="R1591" s="124" t="str">
        <f>IF(NOT(N1608=46),"",IF(OR(ISBLANK(E1588),ISBLANK(L1588),ISBLANK(K1589),ISBLANK(O1589)),"O","P"))</f>
        <v/>
      </c>
      <c r="S1591" s="108" t="str">
        <f>IF(NOT(N1608=46),"","Address")</f>
        <v/>
      </c>
      <c r="T1591" s="64"/>
    </row>
    <row r="1592" spans="1:20" ht="15" thickBot="1" x14ac:dyDescent="0.25">
      <c r="A1592" s="83"/>
      <c r="B1592" s="410" t="s">
        <v>214</v>
      </c>
      <c r="C1592" s="411"/>
      <c r="D1592" s="412" t="str">
        <f>IF(NOT($N1608=46),"",IF(ISERROR(LOOKUP(46,'Teacher Summary Sheet'!$M$19:$M$181)),"",IF(VLOOKUP(46,'Teacher Summary Sheet'!$M$19:$R$181,5)=0,"",VLOOKUP(46,'Teacher Summary Sheet'!$M$19:$R$181,5))))</f>
        <v/>
      </c>
      <c r="E1592" s="413"/>
      <c r="F1592" s="414" t="s">
        <v>319</v>
      </c>
      <c r="G1592" s="415"/>
      <c r="H1592" s="416"/>
      <c r="I1592" s="417"/>
      <c r="J1592" s="418"/>
      <c r="K1592" s="414" t="s">
        <v>320</v>
      </c>
      <c r="L1592" s="419"/>
      <c r="M1592" s="419"/>
      <c r="N1592" s="415"/>
      <c r="O1592" s="405" t="s">
        <v>268</v>
      </c>
      <c r="P1592" s="406"/>
      <c r="Q1592" s="63"/>
      <c r="R1592" s="124" t="str">
        <f>IF(NOT(N1608=46),"",IF(OR(ISBLANK(F1591),ISBLANK(I1591),ISBLANK(L1591)),"O","P"))</f>
        <v/>
      </c>
      <c r="S1592" s="108" t="str">
        <f>IF(NOT(N1608=46),"","Date of Birth")</f>
        <v/>
      </c>
      <c r="T1592" s="64"/>
    </row>
    <row r="1593" spans="1:20" ht="14.25" x14ac:dyDescent="0.2">
      <c r="A1593" s="83"/>
      <c r="B1593" s="522" t="s">
        <v>297</v>
      </c>
      <c r="C1593" s="463"/>
      <c r="D1593" s="463"/>
      <c r="E1593" s="463"/>
      <c r="F1593" s="463"/>
      <c r="G1593" s="463"/>
      <c r="H1593" s="463"/>
      <c r="I1593" s="463"/>
      <c r="J1593" s="463"/>
      <c r="K1593" s="463"/>
      <c r="L1593" s="463"/>
      <c r="M1593" s="463"/>
      <c r="N1593" s="463"/>
      <c r="O1593" s="463"/>
      <c r="P1593" s="464"/>
      <c r="Q1593" s="63"/>
      <c r="R1593" s="124" t="str">
        <f>IF(NOT(N1608=46),"",IF(COUNTBLANK(J1586:J1586)=1,"O","P"))</f>
        <v/>
      </c>
      <c r="S1593" s="112" t="str">
        <f>IF(NOT(N1608=46),"","Exam Level")</f>
        <v/>
      </c>
      <c r="T1593" s="64"/>
    </row>
    <row r="1594" spans="1:20" ht="14.25" x14ac:dyDescent="0.2">
      <c r="A1594" s="83"/>
      <c r="B1594" s="465"/>
      <c r="C1594" s="466"/>
      <c r="D1594" s="466"/>
      <c r="E1594" s="466"/>
      <c r="F1594" s="466"/>
      <c r="G1594" s="466"/>
      <c r="H1594" s="466"/>
      <c r="I1594" s="466"/>
      <c r="J1594" s="466"/>
      <c r="K1594" s="466"/>
      <c r="L1594" s="466"/>
      <c r="M1594" s="466"/>
      <c r="N1594" s="466"/>
      <c r="O1594" s="466"/>
      <c r="P1594" s="467"/>
      <c r="Q1594" s="63"/>
      <c r="R1594" s="124" t="str">
        <f>IF(NOT(N1608=46),"",IF(COUNTBLANK(D1592:D1592)=1,"O","P"))</f>
        <v/>
      </c>
      <c r="S1594" s="109" t="str">
        <f>IF(NOT(N1608=46),"","Gender")</f>
        <v/>
      </c>
      <c r="T1594" s="64"/>
    </row>
    <row r="1595" spans="1:20" ht="14.25" x14ac:dyDescent="0.2">
      <c r="A1595" s="83"/>
      <c r="B1595" s="432" t="s">
        <v>298</v>
      </c>
      <c r="C1595" s="433"/>
      <c r="D1595" s="434"/>
      <c r="E1595" s="405"/>
      <c r="F1595" s="406"/>
      <c r="G1595" s="432" t="s">
        <v>299</v>
      </c>
      <c r="H1595" s="433"/>
      <c r="I1595" s="434"/>
      <c r="J1595" s="405"/>
      <c r="K1595" s="448"/>
      <c r="L1595" s="406"/>
      <c r="M1595" s="414" t="s">
        <v>300</v>
      </c>
      <c r="N1595" s="415"/>
      <c r="O1595" s="457"/>
      <c r="P1595" s="458"/>
      <c r="Q1595" s="63"/>
      <c r="R1595" s="124" t="str">
        <f>IF(NOT(N1608=46),"",IF(ISBLANK(H1592),"O","P"))</f>
        <v/>
      </c>
      <c r="S1595" s="109" t="str">
        <f>IF(NOT(N1608=46),"","Height")</f>
        <v/>
      </c>
      <c r="T1595" s="64"/>
    </row>
    <row r="1596" spans="1:20" x14ac:dyDescent="0.2">
      <c r="A1596" s="83"/>
      <c r="B1596" s="77" t="s">
        <v>153</v>
      </c>
      <c r="C1596" s="405"/>
      <c r="D1596" s="406"/>
      <c r="E1596" s="414" t="s">
        <v>301</v>
      </c>
      <c r="F1596" s="415"/>
      <c r="G1596" s="459"/>
      <c r="H1596" s="460"/>
      <c r="I1596" s="461"/>
      <c r="J1596" s="414" t="s">
        <v>302</v>
      </c>
      <c r="K1596" s="415"/>
      <c r="L1596" s="454"/>
      <c r="M1596" s="455"/>
      <c r="N1596" s="455"/>
      <c r="O1596" s="455"/>
      <c r="P1596" s="456"/>
      <c r="Q1596" s="63"/>
      <c r="R1596" s="64"/>
      <c r="S1596" s="64"/>
      <c r="T1596" s="64"/>
    </row>
    <row r="1597" spans="1:20" x14ac:dyDescent="0.2">
      <c r="A1597" s="83"/>
      <c r="B1597" s="410" t="s">
        <v>116</v>
      </c>
      <c r="C1597" s="420"/>
      <c r="D1597" s="420"/>
      <c r="E1597" s="420"/>
      <c r="F1597" s="420"/>
      <c r="G1597" s="420"/>
      <c r="H1597" s="420"/>
      <c r="I1597" s="420"/>
      <c r="J1597" s="420"/>
      <c r="K1597" s="420"/>
      <c r="L1597" s="420"/>
      <c r="M1597" s="420"/>
      <c r="N1597" s="420"/>
      <c r="O1597" s="420"/>
      <c r="P1597" s="411"/>
      <c r="Q1597" s="63"/>
      <c r="R1597" s="64"/>
      <c r="S1597" s="64"/>
      <c r="T1597" s="64"/>
    </row>
    <row r="1598" spans="1:20" x14ac:dyDescent="0.2">
      <c r="A1598" s="83"/>
      <c r="B1598" s="410" t="s">
        <v>298</v>
      </c>
      <c r="C1598" s="420"/>
      <c r="D1598" s="411"/>
      <c r="E1598" s="405"/>
      <c r="F1598" s="406"/>
      <c r="G1598" s="410" t="s">
        <v>299</v>
      </c>
      <c r="H1598" s="420"/>
      <c r="I1598" s="411"/>
      <c r="J1598" s="454"/>
      <c r="K1598" s="455"/>
      <c r="L1598" s="456"/>
      <c r="M1598" s="414" t="s">
        <v>300</v>
      </c>
      <c r="N1598" s="415"/>
      <c r="O1598" s="457"/>
      <c r="P1598" s="458"/>
      <c r="Q1598" s="63"/>
      <c r="R1598" s="64"/>
    </row>
    <row r="1599" spans="1:20" ht="13.5" thickBot="1" x14ac:dyDescent="0.25">
      <c r="A1599" s="83"/>
      <c r="B1599" s="78" t="s">
        <v>153</v>
      </c>
      <c r="C1599" s="492"/>
      <c r="D1599" s="493"/>
      <c r="E1599" s="494" t="s">
        <v>301</v>
      </c>
      <c r="F1599" s="495"/>
      <c r="G1599" s="496"/>
      <c r="H1599" s="497"/>
      <c r="I1599" s="498"/>
      <c r="J1599" s="414" t="s">
        <v>302</v>
      </c>
      <c r="K1599" s="415"/>
      <c r="L1599" s="454"/>
      <c r="M1599" s="455"/>
      <c r="N1599" s="455"/>
      <c r="O1599" s="455"/>
      <c r="P1599" s="456"/>
      <c r="Q1599" s="63"/>
      <c r="R1599" s="64"/>
    </row>
    <row r="1600" spans="1:20" x14ac:dyDescent="0.2">
      <c r="A1600" s="83"/>
      <c r="B1600" s="499" t="s">
        <v>126</v>
      </c>
      <c r="C1600" s="500"/>
      <c r="D1600" s="500"/>
      <c r="E1600" s="500"/>
      <c r="F1600" s="500"/>
      <c r="G1600" s="500"/>
      <c r="H1600" s="500"/>
      <c r="I1600" s="501"/>
      <c r="J1600" s="505"/>
      <c r="K1600" s="506"/>
      <c r="L1600" s="506"/>
      <c r="M1600" s="506"/>
      <c r="N1600" s="506"/>
      <c r="O1600" s="506"/>
      <c r="P1600" s="507"/>
      <c r="Q1600" s="63"/>
      <c r="R1600" s="64"/>
    </row>
    <row r="1601" spans="1:18" x14ac:dyDescent="0.2">
      <c r="A1601" s="83"/>
      <c r="B1601" s="502"/>
      <c r="C1601" s="503"/>
      <c r="D1601" s="503"/>
      <c r="E1601" s="503"/>
      <c r="F1601" s="503"/>
      <c r="G1601" s="503"/>
      <c r="H1601" s="503"/>
      <c r="I1601" s="504"/>
      <c r="J1601" s="508"/>
      <c r="K1601" s="509"/>
      <c r="L1601" s="509"/>
      <c r="M1601" s="509"/>
      <c r="N1601" s="509"/>
      <c r="O1601" s="509"/>
      <c r="P1601" s="510"/>
      <c r="Q1601" s="63"/>
      <c r="R1601" s="64"/>
    </row>
    <row r="1602" spans="1:18" x14ac:dyDescent="0.2">
      <c r="A1602" s="83"/>
      <c r="B1602" s="514" t="s">
        <v>127</v>
      </c>
      <c r="C1602" s="515"/>
      <c r="D1602" s="515"/>
      <c r="E1602" s="515"/>
      <c r="F1602" s="515"/>
      <c r="G1602" s="515"/>
      <c r="H1602" s="515"/>
      <c r="I1602" s="516"/>
      <c r="J1602" s="508"/>
      <c r="K1602" s="509"/>
      <c r="L1602" s="509"/>
      <c r="M1602" s="509"/>
      <c r="N1602" s="509"/>
      <c r="O1602" s="509"/>
      <c r="P1602" s="510"/>
      <c r="Q1602" s="63"/>
      <c r="R1602" s="64"/>
    </row>
    <row r="1603" spans="1:18" ht="13.5" thickBot="1" x14ac:dyDescent="0.25">
      <c r="A1603" s="83"/>
      <c r="B1603" s="517"/>
      <c r="C1603" s="518"/>
      <c r="D1603" s="518"/>
      <c r="E1603" s="518"/>
      <c r="F1603" s="518"/>
      <c r="G1603" s="518"/>
      <c r="H1603" s="518"/>
      <c r="I1603" s="519"/>
      <c r="J1603" s="511"/>
      <c r="K1603" s="512"/>
      <c r="L1603" s="512"/>
      <c r="M1603" s="512"/>
      <c r="N1603" s="512"/>
      <c r="O1603" s="512"/>
      <c r="P1603" s="513"/>
      <c r="Q1603" s="63"/>
      <c r="R1603" s="64"/>
    </row>
    <row r="1604" spans="1:18" x14ac:dyDescent="0.2">
      <c r="A1604" s="83"/>
      <c r="B1604" s="480" t="s">
        <v>10</v>
      </c>
      <c r="C1604" s="481"/>
      <c r="D1604" s="481"/>
      <c r="E1604" s="481"/>
      <c r="F1604" s="481"/>
      <c r="G1604" s="481"/>
      <c r="H1604" s="481"/>
      <c r="I1604" s="482"/>
      <c r="J1604" s="79">
        <v>1</v>
      </c>
      <c r="K1604" s="483"/>
      <c r="L1604" s="484"/>
      <c r="M1604" s="484"/>
      <c r="N1604" s="484"/>
      <c r="O1604" s="484"/>
      <c r="P1604" s="485"/>
      <c r="Q1604" s="63"/>
      <c r="R1604" s="64"/>
    </row>
    <row r="1605" spans="1:18" x14ac:dyDescent="0.2">
      <c r="A1605" s="83"/>
      <c r="B1605" s="486" t="s">
        <v>276</v>
      </c>
      <c r="C1605" s="487"/>
      <c r="D1605" s="487"/>
      <c r="E1605" s="487"/>
      <c r="F1605" s="487"/>
      <c r="G1605" s="487"/>
      <c r="H1605" s="487"/>
      <c r="I1605" s="488"/>
      <c r="J1605" s="80">
        <v>2</v>
      </c>
      <c r="K1605" s="454"/>
      <c r="L1605" s="455"/>
      <c r="M1605" s="455"/>
      <c r="N1605" s="455"/>
      <c r="O1605" s="455"/>
      <c r="P1605" s="456"/>
      <c r="Q1605" s="63"/>
      <c r="R1605" s="64"/>
    </row>
    <row r="1606" spans="1:18" x14ac:dyDescent="0.2">
      <c r="A1606" s="83"/>
      <c r="B1606" s="489" t="s">
        <v>234</v>
      </c>
      <c r="C1606" s="490"/>
      <c r="D1606" s="490"/>
      <c r="E1606" s="490"/>
      <c r="F1606" s="490"/>
      <c r="G1606" s="490"/>
      <c r="H1606" s="490"/>
      <c r="I1606" s="491"/>
      <c r="J1606" s="80">
        <v>3</v>
      </c>
      <c r="K1606" s="454"/>
      <c r="L1606" s="455"/>
      <c r="M1606" s="455"/>
      <c r="N1606" s="455"/>
      <c r="O1606" s="455"/>
      <c r="P1606" s="456"/>
      <c r="Q1606" s="63"/>
      <c r="R1606" s="64"/>
    </row>
    <row r="1607" spans="1:18" x14ac:dyDescent="0.2">
      <c r="A1607" s="83"/>
      <c r="B1607" s="468"/>
      <c r="C1607" s="468"/>
      <c r="D1607" s="468"/>
      <c r="E1607" s="468"/>
      <c r="F1607" s="468"/>
      <c r="G1607" s="468"/>
      <c r="H1607" s="468"/>
      <c r="I1607" s="468"/>
      <c r="J1607" s="468"/>
      <c r="K1607" s="468"/>
      <c r="L1607" s="468"/>
      <c r="M1607" s="468"/>
      <c r="N1607" s="468"/>
      <c r="O1607" s="468"/>
      <c r="P1607" s="468"/>
      <c r="Q1607" s="63"/>
      <c r="R1607" s="64"/>
    </row>
    <row r="1608" spans="1:18" ht="12" customHeight="1" x14ac:dyDescent="0.2">
      <c r="A1608" s="83"/>
      <c r="B1608" s="469" t="s">
        <v>84</v>
      </c>
      <c r="C1608" s="471" t="str">
        <f>IF(CODE(B1608)=89,"This candidate would like to receive Special","This candidate would not like to receive Special")</f>
        <v>This candidate would like to receive Special</v>
      </c>
      <c r="D1608" s="472"/>
      <c r="E1608" s="472"/>
      <c r="F1608" s="472"/>
      <c r="G1608" s="472"/>
      <c r="H1608" s="472"/>
      <c r="I1608" s="473"/>
      <c r="J1608" s="81"/>
      <c r="K1608" s="474" t="s">
        <v>235</v>
      </c>
      <c r="L1608" s="474"/>
      <c r="M1608" s="475"/>
      <c r="N1608" s="51" t="str">
        <f>IF($P$33&gt;=46,46,"")</f>
        <v/>
      </c>
      <c r="O1608" s="62" t="s">
        <v>52</v>
      </c>
      <c r="P1608" s="51" t="str">
        <f>IF($P$33&gt;=46,$P$33,"")</f>
        <v/>
      </c>
      <c r="Q1608" s="63"/>
      <c r="R1608" s="64"/>
    </row>
    <row r="1609" spans="1:18" ht="12" customHeight="1" x14ac:dyDescent="0.2">
      <c r="A1609" s="83"/>
      <c r="B1609" s="470"/>
      <c r="C1609" s="476" t="str">
        <f>IF(CODE(B1608)=89,"Announcements and Bulletins from RAD Canada","Announcements and Bulletins from RAD Canada")</f>
        <v>Announcements and Bulletins from RAD Canada</v>
      </c>
      <c r="D1609" s="477"/>
      <c r="E1609" s="477"/>
      <c r="F1609" s="477"/>
      <c r="G1609" s="477"/>
      <c r="H1609" s="477"/>
      <c r="I1609" s="478"/>
      <c r="J1609" s="479"/>
      <c r="K1609" s="400"/>
      <c r="L1609" s="400"/>
      <c r="M1609" s="400"/>
      <c r="N1609" s="400"/>
      <c r="O1609" s="400"/>
      <c r="P1609" s="400"/>
      <c r="Q1609" s="63"/>
      <c r="R1609" s="64"/>
    </row>
    <row r="1610" spans="1:18" x14ac:dyDescent="0.2">
      <c r="A1610" s="83"/>
      <c r="B1610" s="81"/>
      <c r="C1610" s="81"/>
      <c r="D1610" s="81"/>
      <c r="E1610" s="81"/>
      <c r="F1610" s="81"/>
      <c r="G1610" s="81"/>
      <c r="H1610" s="81"/>
      <c r="I1610" s="81"/>
      <c r="J1610" s="81"/>
      <c r="K1610" s="81"/>
      <c r="L1610" s="81"/>
      <c r="M1610" s="81"/>
      <c r="N1610" s="81"/>
      <c r="O1610" s="81"/>
      <c r="P1610" s="81"/>
      <c r="Q1610" s="63"/>
      <c r="R1610" s="64"/>
    </row>
    <row r="1611" spans="1:18" x14ac:dyDescent="0.2">
      <c r="A1611" s="83"/>
      <c r="B1611" s="62"/>
      <c r="C1611" s="62"/>
      <c r="D1611" s="62"/>
      <c r="E1611" s="62"/>
      <c r="F1611" s="62"/>
      <c r="G1611" s="62"/>
      <c r="H1611" s="62"/>
      <c r="I1611" s="62"/>
      <c r="J1611" s="62"/>
      <c r="K1611" s="62"/>
      <c r="L1611" s="62"/>
      <c r="M1611" s="62"/>
      <c r="N1611" s="62"/>
      <c r="O1611" s="62"/>
      <c r="P1611" s="62"/>
      <c r="Q1611" s="63"/>
      <c r="R1611" s="64"/>
    </row>
    <row r="1612" spans="1:18" x14ac:dyDescent="0.2">
      <c r="A1612" s="83"/>
      <c r="B1612" s="401" t="s">
        <v>281</v>
      </c>
      <c r="C1612" s="402"/>
      <c r="D1612" s="402"/>
      <c r="E1612" s="402"/>
      <c r="F1612" s="402"/>
      <c r="G1612" s="402"/>
      <c r="H1612" s="62"/>
      <c r="I1612" s="62"/>
      <c r="J1612" s="62"/>
      <c r="K1612" s="62"/>
      <c r="L1612" s="62"/>
      <c r="M1612" s="62"/>
      <c r="N1612" s="62"/>
      <c r="O1612" s="62"/>
      <c r="P1612" s="62"/>
      <c r="Q1612" s="63"/>
      <c r="R1612" s="64"/>
    </row>
    <row r="1613" spans="1:18" ht="15.75" x14ac:dyDescent="0.25">
      <c r="A1613" s="83"/>
      <c r="B1613" s="402"/>
      <c r="C1613" s="402"/>
      <c r="D1613" s="402"/>
      <c r="E1613" s="402"/>
      <c r="F1613" s="402"/>
      <c r="G1613" s="402"/>
      <c r="H1613" s="82"/>
      <c r="I1613" s="403"/>
      <c r="J1613" s="403"/>
      <c r="K1613" s="403"/>
      <c r="L1613" s="403"/>
      <c r="M1613" s="403"/>
      <c r="N1613" s="403"/>
      <c r="O1613" s="403"/>
      <c r="P1613" s="403"/>
      <c r="Q1613" s="63"/>
      <c r="R1613" s="64"/>
    </row>
    <row r="1614" spans="1:18" x14ac:dyDescent="0.2">
      <c r="A1614" s="83"/>
      <c r="B1614" s="400"/>
      <c r="C1614" s="400"/>
      <c r="D1614" s="400"/>
      <c r="E1614" s="400"/>
      <c r="F1614" s="400"/>
      <c r="G1614" s="400"/>
      <c r="H1614" s="400"/>
      <c r="I1614" s="400"/>
      <c r="J1614" s="400"/>
      <c r="K1614" s="400"/>
      <c r="L1614" s="400"/>
      <c r="M1614" s="403"/>
      <c r="N1614" s="403"/>
      <c r="O1614" s="403"/>
      <c r="P1614" s="403"/>
      <c r="Q1614" s="63"/>
      <c r="R1614" s="64"/>
    </row>
    <row r="1615" spans="1:18" x14ac:dyDescent="0.2">
      <c r="A1615" s="83"/>
      <c r="B1615" s="404" t="s">
        <v>260</v>
      </c>
      <c r="C1615" s="404"/>
      <c r="D1615" s="404"/>
      <c r="E1615" s="404"/>
      <c r="F1615" s="400"/>
      <c r="G1615" s="400"/>
      <c r="H1615" s="400"/>
      <c r="I1615" s="400"/>
      <c r="J1615" s="400"/>
      <c r="K1615" s="400"/>
      <c r="L1615" s="400"/>
      <c r="M1615" s="403"/>
      <c r="N1615" s="403"/>
      <c r="O1615" s="403"/>
      <c r="P1615" s="403"/>
      <c r="Q1615" s="63"/>
      <c r="R1615" s="64"/>
    </row>
    <row r="1616" spans="1:18" x14ac:dyDescent="0.2">
      <c r="A1616" s="83"/>
      <c r="B1616" s="69"/>
      <c r="C1616" s="324" t="s">
        <v>75</v>
      </c>
      <c r="D1616" s="408"/>
      <c r="E1616" s="409"/>
      <c r="F1616" s="400"/>
      <c r="G1616" s="400"/>
      <c r="H1616" s="400"/>
      <c r="I1616" s="400"/>
      <c r="J1616" s="400"/>
      <c r="K1616" s="400"/>
      <c r="L1616" s="400"/>
      <c r="M1616" s="70"/>
      <c r="N1616" s="70"/>
      <c r="O1616" s="70"/>
      <c r="P1616" s="70"/>
      <c r="Q1616" s="63"/>
      <c r="R1616" s="64"/>
    </row>
    <row r="1617" spans="1:20" x14ac:dyDescent="0.2">
      <c r="A1617" s="83"/>
      <c r="B1617" s="71"/>
      <c r="C1617" s="324" t="s">
        <v>128</v>
      </c>
      <c r="D1617" s="408"/>
      <c r="E1617" s="409"/>
      <c r="F1617" s="400"/>
      <c r="G1617" s="400"/>
      <c r="H1617" s="400"/>
      <c r="I1617" s="400"/>
      <c r="J1617" s="400"/>
      <c r="K1617" s="400"/>
      <c r="L1617" s="400"/>
      <c r="M1617" s="407" t="s">
        <v>256</v>
      </c>
      <c r="N1617" s="407"/>
      <c r="O1617" s="407"/>
      <c r="P1617" s="407"/>
      <c r="Q1617" s="63"/>
      <c r="R1617" s="64"/>
    </row>
    <row r="1618" spans="1:20" x14ac:dyDescent="0.2">
      <c r="A1618" s="83"/>
      <c r="B1618" s="56"/>
      <c r="C1618" s="324" t="s">
        <v>282</v>
      </c>
      <c r="D1618" s="408"/>
      <c r="E1618" s="409"/>
      <c r="F1618" s="400"/>
      <c r="G1618" s="400"/>
      <c r="H1618" s="400"/>
      <c r="I1618" s="400"/>
      <c r="J1618" s="400"/>
      <c r="K1618" s="400"/>
      <c r="L1618" s="400"/>
      <c r="M1618" s="407"/>
      <c r="N1618" s="407"/>
      <c r="O1618" s="407"/>
      <c r="P1618" s="407"/>
      <c r="Q1618" s="63"/>
      <c r="R1618" s="64"/>
    </row>
    <row r="1619" spans="1:20" x14ac:dyDescent="0.2">
      <c r="A1619" s="83"/>
      <c r="B1619" s="520"/>
      <c r="C1619" s="520"/>
      <c r="D1619" s="520"/>
      <c r="E1619" s="520"/>
      <c r="F1619" s="520"/>
      <c r="G1619" s="520"/>
      <c r="H1619" s="520"/>
      <c r="I1619" s="520"/>
      <c r="J1619" s="520"/>
      <c r="K1619" s="520"/>
      <c r="L1619" s="520"/>
      <c r="M1619" s="520"/>
      <c r="N1619" s="520"/>
      <c r="O1619" s="520"/>
      <c r="P1619" s="520"/>
      <c r="Q1619" s="63"/>
      <c r="R1619" s="64"/>
    </row>
    <row r="1620" spans="1:20" x14ac:dyDescent="0.2">
      <c r="A1620" s="83"/>
      <c r="B1620" s="432" t="s">
        <v>117</v>
      </c>
      <c r="C1620" s="433"/>
      <c r="D1620" s="434"/>
      <c r="E1620" s="442" t="str">
        <f>IF(AND($P$33&gt;=47,NOT(ISBLANK($E$10))),$E$10,"")</f>
        <v/>
      </c>
      <c r="F1620" s="443"/>
      <c r="G1620" s="444"/>
      <c r="H1620" s="414" t="s">
        <v>124</v>
      </c>
      <c r="I1620" s="415"/>
      <c r="J1620" s="442" t="str">
        <f>IF(AND($P$33&gt;=47,NOT(ISBLANK($J$10))),$J$10,"")</f>
        <v/>
      </c>
      <c r="K1620" s="443"/>
      <c r="L1620" s="444"/>
      <c r="M1620" s="414" t="s">
        <v>118</v>
      </c>
      <c r="N1620" s="415"/>
      <c r="O1620" s="430" t="str">
        <f>IF(AND($P$33&gt;=47,NOT(ISBLANK($O$10))),$O$10,"")</f>
        <v/>
      </c>
      <c r="P1620" s="521"/>
      <c r="Q1620" s="63"/>
      <c r="R1620" s="545" t="s">
        <v>307</v>
      </c>
      <c r="S1620" s="546"/>
      <c r="T1620" s="547"/>
    </row>
    <row r="1621" spans="1:20" x14ac:dyDescent="0.2">
      <c r="A1621" s="83"/>
      <c r="B1621" s="432" t="s">
        <v>240</v>
      </c>
      <c r="C1621" s="433"/>
      <c r="D1621" s="434"/>
      <c r="E1621" s="435" t="str">
        <f>IF(NOT($N1643=47),"",IF(ISERROR(LOOKUP(47,'Teacher Summary Sheet'!$M$19:$M$181)),"",IF(VLOOKUP(47,'Teacher Summary Sheet'!$M$19:$R$181,2)=0,"",VLOOKUP(47,'Teacher Summary Sheet'!$M$19:$R$181,2))))</f>
        <v/>
      </c>
      <c r="F1621" s="436"/>
      <c r="G1621" s="437"/>
      <c r="H1621" s="438" t="s">
        <v>119</v>
      </c>
      <c r="I1621" s="439"/>
      <c r="J1621" s="102" t="str">
        <f>IF(NOT($N1643=47),"",IF(ISERROR(LOOKUP(47,'Teacher Summary Sheet'!$M$19:$M$181)),"",IF(VLOOKUP(47,'Teacher Summary Sheet'!$M$19:$R$181,6)=0,"",VLOOKUP(47,'Teacher Summary Sheet'!$M$19:$R$181,6))))</f>
        <v/>
      </c>
      <c r="K1621" s="414" t="s">
        <v>179</v>
      </c>
      <c r="L1621" s="419"/>
      <c r="M1621" s="415"/>
      <c r="N1621" s="412" t="str">
        <f>IF(NOT($N1643=47),"",IF(ISERROR(LOOKUP(47,'Teacher Summary Sheet'!$M$19:$M$181)),"",IF('Teacher Summary Sheet'!$F$31=0,"",'Teacher Summary Sheet'!$F$31)))</f>
        <v/>
      </c>
      <c r="O1621" s="440"/>
      <c r="P1621" s="413"/>
      <c r="Q1621" s="63"/>
      <c r="R1621" s="548"/>
      <c r="S1621" s="549"/>
      <c r="T1621" s="550"/>
    </row>
    <row r="1622" spans="1:20" ht="14.25" x14ac:dyDescent="0.2">
      <c r="A1622" s="83"/>
      <c r="B1622" s="410" t="s">
        <v>241</v>
      </c>
      <c r="C1622" s="420"/>
      <c r="D1622" s="411"/>
      <c r="E1622" s="421" t="str">
        <f>IF(NOT($N1643=47),"",IF(ISERROR(LOOKUP(47,'Teacher Summary Sheet'!$M$19:$M$181)),"",IF(VLOOKUP(47,'Teacher Summary Sheet'!$M$19:$R$181,3)=0,"",VLOOKUP(47,'Teacher Summary Sheet'!$M$19:$R$181,3))))</f>
        <v/>
      </c>
      <c r="F1622" s="422"/>
      <c r="G1622" s="422"/>
      <c r="H1622" s="422"/>
      <c r="I1622" s="423"/>
      <c r="J1622" s="414" t="s">
        <v>124</v>
      </c>
      <c r="K1622" s="415"/>
      <c r="L1622" s="424" t="str">
        <f>IF(NOT($N1643=47),"",IF(ISERROR(LOOKUP(47,'Teacher Summary Sheet'!$M$19:$M$181)),"",IF(VLOOKUP(47,'Teacher Summary Sheet'!$M$19:$R$181,4)=0,"",VLOOKUP(47,'Teacher Summary Sheet'!$M$19:$R$181,4))))</f>
        <v/>
      </c>
      <c r="M1622" s="425"/>
      <c r="N1622" s="425"/>
      <c r="O1622" s="425"/>
      <c r="P1622" s="426"/>
      <c r="Q1622" s="63"/>
      <c r="R1622" s="125" t="str">
        <f>IF(NOT(N1643=47),"",IF(COUNTIF(R1624:R1630,"P")=7,"P","O"))</f>
        <v/>
      </c>
      <c r="S1622" s="110" t="str">
        <f>IF(NOT(N1643=47),"",IF(COUNTIF(R1624:R1630,"P")=7,"Complete","Incomplete"))</f>
        <v/>
      </c>
      <c r="T1622" s="111"/>
    </row>
    <row r="1623" spans="1:20" x14ac:dyDescent="0.2">
      <c r="A1623" s="83"/>
      <c r="B1623" s="410" t="s">
        <v>120</v>
      </c>
      <c r="C1623" s="420"/>
      <c r="D1623" s="411"/>
      <c r="E1623" s="427"/>
      <c r="F1623" s="428"/>
      <c r="G1623" s="428"/>
      <c r="H1623" s="428"/>
      <c r="I1623" s="428"/>
      <c r="J1623" s="429"/>
      <c r="K1623" s="62" t="s">
        <v>121</v>
      </c>
      <c r="L1623" s="427"/>
      <c r="M1623" s="428"/>
      <c r="N1623" s="428"/>
      <c r="O1623" s="428"/>
      <c r="P1623" s="429"/>
      <c r="Q1623" s="63"/>
    </row>
    <row r="1624" spans="1:20" ht="14.25" x14ac:dyDescent="0.2">
      <c r="A1624" s="83"/>
      <c r="B1624" s="410" t="s">
        <v>196</v>
      </c>
      <c r="C1624" s="420"/>
      <c r="D1624" s="411"/>
      <c r="E1624" s="427"/>
      <c r="F1624" s="428"/>
      <c r="G1624" s="428"/>
      <c r="H1624" s="428"/>
      <c r="I1624" s="429"/>
      <c r="J1624" s="73" t="s">
        <v>197</v>
      </c>
      <c r="K1624" s="405"/>
      <c r="L1624" s="406"/>
      <c r="M1624" s="414" t="s">
        <v>212</v>
      </c>
      <c r="N1624" s="415"/>
      <c r="O1624" s="405"/>
      <c r="P1624" s="406"/>
      <c r="Q1624" s="63"/>
      <c r="R1624" s="124" t="str">
        <f>IF(NOT(N1643=47),"",IF(OR(COUNTBLANK(E1622:E1622)=1,COUNTBLANK(L1622:L1622)=1),"O","P"))</f>
        <v/>
      </c>
      <c r="S1624" s="108" t="str">
        <f>IF(NOT(N1643=47),"","Candidate Name")</f>
        <v/>
      </c>
      <c r="T1624" s="64"/>
    </row>
    <row r="1625" spans="1:20" ht="14.25" x14ac:dyDescent="0.2">
      <c r="A1625" s="83"/>
      <c r="B1625" s="410" t="s">
        <v>198</v>
      </c>
      <c r="C1625" s="420"/>
      <c r="D1625" s="411"/>
      <c r="E1625" s="454"/>
      <c r="F1625" s="455"/>
      <c r="G1625" s="455"/>
      <c r="H1625" s="456"/>
      <c r="I1625" s="74" t="s">
        <v>199</v>
      </c>
      <c r="J1625" s="427"/>
      <c r="K1625" s="428"/>
      <c r="L1625" s="428"/>
      <c r="M1625" s="428"/>
      <c r="N1625" s="428"/>
      <c r="O1625" s="428"/>
      <c r="P1625" s="429"/>
      <c r="Q1625" s="63"/>
      <c r="R1625" s="124" t="str">
        <f>IF(NOT(N1643=47),"",IF(COUNTBLANK(E1621:E1621)=1,"O","P"))</f>
        <v/>
      </c>
      <c r="S1625" s="108" t="str">
        <f>IF(NOT(N1643=47),"","Candidate ID")</f>
        <v/>
      </c>
      <c r="T1625" s="64"/>
    </row>
    <row r="1626" spans="1:20" ht="14.25" x14ac:dyDescent="0.2">
      <c r="A1626" s="83"/>
      <c r="B1626" s="410" t="s">
        <v>227</v>
      </c>
      <c r="C1626" s="420"/>
      <c r="D1626" s="411"/>
      <c r="E1626" s="75" t="s">
        <v>218</v>
      </c>
      <c r="F1626" s="405"/>
      <c r="G1626" s="448"/>
      <c r="H1626" s="75" t="s">
        <v>138</v>
      </c>
      <c r="I1626" s="449"/>
      <c r="J1626" s="450"/>
      <c r="K1626" s="76" t="s">
        <v>139</v>
      </c>
      <c r="L1626" s="451"/>
      <c r="M1626" s="452"/>
      <c r="N1626" s="76" t="s">
        <v>228</v>
      </c>
      <c r="O1626" s="453" t="str">
        <f ca="1">IF(OR(ISBLANK(L1626),ISBLANK(I1626),ISBLANK(F1626),COUNTBLANK(J1621:J1621)=1),"",IF(DATEDIF(DATE(L1626,VLOOKUP(I1626,data!$T$2:$U$13,2,FALSE),F1626),IF(AND(TODAY()&lt;data!$AJ$12,TODAY()&gt;data!$AI$12),data!$AI$3,data!$AJ$3),"Y")&gt;=data!$AC$49,YEAR(TODAY())-L1626,data!$AD$3))</f>
        <v/>
      </c>
      <c r="P1626" s="413"/>
      <c r="Q1626" s="63"/>
      <c r="R1626" s="124" t="str">
        <f>IF(NOT(N1643=47),"",IF(OR(ISBLANK(E1623),ISBLANK(L1623),ISBLANK(K1624),ISBLANK(O1624)),"O","P"))</f>
        <v/>
      </c>
      <c r="S1626" s="108" t="str">
        <f>IF(NOT(N1643=47),"","Address")</f>
        <v/>
      </c>
      <c r="T1626" s="64"/>
    </row>
    <row r="1627" spans="1:20" ht="15" thickBot="1" x14ac:dyDescent="0.25">
      <c r="A1627" s="83"/>
      <c r="B1627" s="410" t="s">
        <v>214</v>
      </c>
      <c r="C1627" s="411"/>
      <c r="D1627" s="412" t="str">
        <f>IF(NOT($N1643=47),"",IF(ISERROR(LOOKUP(47,'Teacher Summary Sheet'!$M$19:$M$181)),"",IF(VLOOKUP(47,'Teacher Summary Sheet'!$M$19:$R$181,5)=0,"",VLOOKUP(47,'Teacher Summary Sheet'!$M$19:$R$181,5))))</f>
        <v/>
      </c>
      <c r="E1627" s="413"/>
      <c r="F1627" s="414" t="s">
        <v>319</v>
      </c>
      <c r="G1627" s="415"/>
      <c r="H1627" s="416"/>
      <c r="I1627" s="417"/>
      <c r="J1627" s="418"/>
      <c r="K1627" s="414" t="s">
        <v>320</v>
      </c>
      <c r="L1627" s="419"/>
      <c r="M1627" s="419"/>
      <c r="N1627" s="415"/>
      <c r="O1627" s="405" t="s">
        <v>268</v>
      </c>
      <c r="P1627" s="406"/>
      <c r="Q1627" s="63"/>
      <c r="R1627" s="124" t="str">
        <f>IF(NOT(N1643=47),"",IF(OR(ISBLANK(F1626),ISBLANK(I1626),ISBLANK(L1626)),"O","P"))</f>
        <v/>
      </c>
      <c r="S1627" s="108" t="str">
        <f>IF(NOT(N1643=47),"","Date of Birth")</f>
        <v/>
      </c>
      <c r="T1627" s="64"/>
    </row>
    <row r="1628" spans="1:20" ht="14.25" x14ac:dyDescent="0.2">
      <c r="A1628" s="83"/>
      <c r="B1628" s="522" t="s">
        <v>297</v>
      </c>
      <c r="C1628" s="463"/>
      <c r="D1628" s="463"/>
      <c r="E1628" s="463"/>
      <c r="F1628" s="463"/>
      <c r="G1628" s="463"/>
      <c r="H1628" s="463"/>
      <c r="I1628" s="463"/>
      <c r="J1628" s="463"/>
      <c r="K1628" s="463"/>
      <c r="L1628" s="463"/>
      <c r="M1628" s="463"/>
      <c r="N1628" s="463"/>
      <c r="O1628" s="463"/>
      <c r="P1628" s="464"/>
      <c r="Q1628" s="63"/>
      <c r="R1628" s="124" t="str">
        <f>IF(NOT(N1643=47),"",IF(COUNTBLANK(J1621:J1621)=1,"O","P"))</f>
        <v/>
      </c>
      <c r="S1628" s="112" t="str">
        <f>IF(NOT(N1643=47),"","Exam Level")</f>
        <v/>
      </c>
      <c r="T1628" s="64"/>
    </row>
    <row r="1629" spans="1:20" ht="14.25" x14ac:dyDescent="0.2">
      <c r="A1629" s="83"/>
      <c r="B1629" s="465"/>
      <c r="C1629" s="466"/>
      <c r="D1629" s="466"/>
      <c r="E1629" s="466"/>
      <c r="F1629" s="466"/>
      <c r="G1629" s="466"/>
      <c r="H1629" s="466"/>
      <c r="I1629" s="466"/>
      <c r="J1629" s="466"/>
      <c r="K1629" s="466"/>
      <c r="L1629" s="466"/>
      <c r="M1629" s="466"/>
      <c r="N1629" s="466"/>
      <c r="O1629" s="466"/>
      <c r="P1629" s="467"/>
      <c r="Q1629" s="63"/>
      <c r="R1629" s="124" t="str">
        <f>IF(NOT(N1643=47),"",IF(COUNTBLANK(D1627:D1627)=1,"O","P"))</f>
        <v/>
      </c>
      <c r="S1629" s="109" t="str">
        <f>IF(NOT(N1643=47),"","Gender")</f>
        <v/>
      </c>
      <c r="T1629" s="64"/>
    </row>
    <row r="1630" spans="1:20" ht="14.25" x14ac:dyDescent="0.2">
      <c r="A1630" s="83"/>
      <c r="B1630" s="432" t="s">
        <v>298</v>
      </c>
      <c r="C1630" s="433"/>
      <c r="D1630" s="434"/>
      <c r="E1630" s="405"/>
      <c r="F1630" s="406"/>
      <c r="G1630" s="432" t="s">
        <v>299</v>
      </c>
      <c r="H1630" s="433"/>
      <c r="I1630" s="434"/>
      <c r="J1630" s="405"/>
      <c r="K1630" s="448"/>
      <c r="L1630" s="406"/>
      <c r="M1630" s="414" t="s">
        <v>300</v>
      </c>
      <c r="N1630" s="415"/>
      <c r="O1630" s="457"/>
      <c r="P1630" s="458"/>
      <c r="Q1630" s="63"/>
      <c r="R1630" s="124" t="str">
        <f>IF(NOT(N1643=47),"",IF(ISBLANK(H1627),"O","P"))</f>
        <v/>
      </c>
      <c r="S1630" s="109" t="str">
        <f>IF(NOT(N1643=47),"","Height")</f>
        <v/>
      </c>
      <c r="T1630" s="64"/>
    </row>
    <row r="1631" spans="1:20" x14ac:dyDescent="0.2">
      <c r="A1631" s="83"/>
      <c r="B1631" s="77" t="s">
        <v>153</v>
      </c>
      <c r="C1631" s="405"/>
      <c r="D1631" s="406"/>
      <c r="E1631" s="414" t="s">
        <v>301</v>
      </c>
      <c r="F1631" s="415"/>
      <c r="G1631" s="459"/>
      <c r="H1631" s="460"/>
      <c r="I1631" s="461"/>
      <c r="J1631" s="414" t="s">
        <v>302</v>
      </c>
      <c r="K1631" s="415"/>
      <c r="L1631" s="454"/>
      <c r="M1631" s="455"/>
      <c r="N1631" s="455"/>
      <c r="O1631" s="455"/>
      <c r="P1631" s="456"/>
      <c r="Q1631" s="63"/>
      <c r="R1631" s="64"/>
      <c r="S1631" s="64"/>
      <c r="T1631" s="64"/>
    </row>
    <row r="1632" spans="1:20" x14ac:dyDescent="0.2">
      <c r="A1632" s="83"/>
      <c r="B1632" s="410" t="s">
        <v>116</v>
      </c>
      <c r="C1632" s="420"/>
      <c r="D1632" s="420"/>
      <c r="E1632" s="420"/>
      <c r="F1632" s="420"/>
      <c r="G1632" s="420"/>
      <c r="H1632" s="420"/>
      <c r="I1632" s="420"/>
      <c r="J1632" s="420"/>
      <c r="K1632" s="420"/>
      <c r="L1632" s="420"/>
      <c r="M1632" s="420"/>
      <c r="N1632" s="420"/>
      <c r="O1632" s="420"/>
      <c r="P1632" s="411"/>
      <c r="Q1632" s="63"/>
      <c r="R1632" s="64"/>
      <c r="S1632" s="64"/>
      <c r="T1632" s="64"/>
    </row>
    <row r="1633" spans="1:18" x14ac:dyDescent="0.2">
      <c r="A1633" s="83"/>
      <c r="B1633" s="410" t="s">
        <v>298</v>
      </c>
      <c r="C1633" s="420"/>
      <c r="D1633" s="411"/>
      <c r="E1633" s="405"/>
      <c r="F1633" s="406"/>
      <c r="G1633" s="410" t="s">
        <v>299</v>
      </c>
      <c r="H1633" s="420"/>
      <c r="I1633" s="411"/>
      <c r="J1633" s="454"/>
      <c r="K1633" s="455"/>
      <c r="L1633" s="456"/>
      <c r="M1633" s="414" t="s">
        <v>300</v>
      </c>
      <c r="N1633" s="415"/>
      <c r="O1633" s="457"/>
      <c r="P1633" s="458"/>
      <c r="Q1633" s="63"/>
      <c r="R1633" s="64"/>
    </row>
    <row r="1634" spans="1:18" ht="13.5" thickBot="1" x14ac:dyDescent="0.25">
      <c r="A1634" s="83"/>
      <c r="B1634" s="78" t="s">
        <v>153</v>
      </c>
      <c r="C1634" s="492"/>
      <c r="D1634" s="493"/>
      <c r="E1634" s="494" t="s">
        <v>301</v>
      </c>
      <c r="F1634" s="495"/>
      <c r="G1634" s="496"/>
      <c r="H1634" s="497"/>
      <c r="I1634" s="498"/>
      <c r="J1634" s="414" t="s">
        <v>302</v>
      </c>
      <c r="K1634" s="415"/>
      <c r="L1634" s="454"/>
      <c r="M1634" s="455"/>
      <c r="N1634" s="455"/>
      <c r="O1634" s="455"/>
      <c r="P1634" s="456"/>
      <c r="Q1634" s="63"/>
      <c r="R1634" s="64"/>
    </row>
    <row r="1635" spans="1:18" x14ac:dyDescent="0.2">
      <c r="A1635" s="83"/>
      <c r="B1635" s="499" t="s">
        <v>126</v>
      </c>
      <c r="C1635" s="500"/>
      <c r="D1635" s="500"/>
      <c r="E1635" s="500"/>
      <c r="F1635" s="500"/>
      <c r="G1635" s="500"/>
      <c r="H1635" s="500"/>
      <c r="I1635" s="501"/>
      <c r="J1635" s="505"/>
      <c r="K1635" s="506"/>
      <c r="L1635" s="506"/>
      <c r="M1635" s="506"/>
      <c r="N1635" s="506"/>
      <c r="O1635" s="506"/>
      <c r="P1635" s="507"/>
      <c r="Q1635" s="63"/>
      <c r="R1635" s="64"/>
    </row>
    <row r="1636" spans="1:18" x14ac:dyDescent="0.2">
      <c r="A1636" s="83"/>
      <c r="B1636" s="502"/>
      <c r="C1636" s="503"/>
      <c r="D1636" s="503"/>
      <c r="E1636" s="503"/>
      <c r="F1636" s="503"/>
      <c r="G1636" s="503"/>
      <c r="H1636" s="503"/>
      <c r="I1636" s="504"/>
      <c r="J1636" s="508"/>
      <c r="K1636" s="509"/>
      <c r="L1636" s="509"/>
      <c r="M1636" s="509"/>
      <c r="N1636" s="509"/>
      <c r="O1636" s="509"/>
      <c r="P1636" s="510"/>
      <c r="Q1636" s="63"/>
      <c r="R1636" s="64"/>
    </row>
    <row r="1637" spans="1:18" x14ac:dyDescent="0.2">
      <c r="A1637" s="83"/>
      <c r="B1637" s="514" t="s">
        <v>127</v>
      </c>
      <c r="C1637" s="515"/>
      <c r="D1637" s="515"/>
      <c r="E1637" s="515"/>
      <c r="F1637" s="515"/>
      <c r="G1637" s="515"/>
      <c r="H1637" s="515"/>
      <c r="I1637" s="516"/>
      <c r="J1637" s="508"/>
      <c r="K1637" s="509"/>
      <c r="L1637" s="509"/>
      <c r="M1637" s="509"/>
      <c r="N1637" s="509"/>
      <c r="O1637" s="509"/>
      <c r="P1637" s="510"/>
      <c r="Q1637" s="63"/>
      <c r="R1637" s="64"/>
    </row>
    <row r="1638" spans="1:18" ht="13.5" thickBot="1" x14ac:dyDescent="0.25">
      <c r="A1638" s="83"/>
      <c r="B1638" s="517"/>
      <c r="C1638" s="518"/>
      <c r="D1638" s="518"/>
      <c r="E1638" s="518"/>
      <c r="F1638" s="518"/>
      <c r="G1638" s="518"/>
      <c r="H1638" s="518"/>
      <c r="I1638" s="519"/>
      <c r="J1638" s="511"/>
      <c r="K1638" s="512"/>
      <c r="L1638" s="512"/>
      <c r="M1638" s="512"/>
      <c r="N1638" s="512"/>
      <c r="O1638" s="512"/>
      <c r="P1638" s="513"/>
      <c r="Q1638" s="63"/>
      <c r="R1638" s="64"/>
    </row>
    <row r="1639" spans="1:18" x14ac:dyDescent="0.2">
      <c r="A1639" s="83"/>
      <c r="B1639" s="480" t="s">
        <v>10</v>
      </c>
      <c r="C1639" s="481"/>
      <c r="D1639" s="481"/>
      <c r="E1639" s="481"/>
      <c r="F1639" s="481"/>
      <c r="G1639" s="481"/>
      <c r="H1639" s="481"/>
      <c r="I1639" s="482"/>
      <c r="J1639" s="79">
        <v>1</v>
      </c>
      <c r="K1639" s="483"/>
      <c r="L1639" s="484"/>
      <c r="M1639" s="484"/>
      <c r="N1639" s="484"/>
      <c r="O1639" s="484"/>
      <c r="P1639" s="485"/>
      <c r="Q1639" s="63"/>
      <c r="R1639" s="64"/>
    </row>
    <row r="1640" spans="1:18" x14ac:dyDescent="0.2">
      <c r="A1640" s="83"/>
      <c r="B1640" s="486" t="s">
        <v>276</v>
      </c>
      <c r="C1640" s="487"/>
      <c r="D1640" s="487"/>
      <c r="E1640" s="487"/>
      <c r="F1640" s="487"/>
      <c r="G1640" s="487"/>
      <c r="H1640" s="487"/>
      <c r="I1640" s="488"/>
      <c r="J1640" s="80">
        <v>2</v>
      </c>
      <c r="K1640" s="454"/>
      <c r="L1640" s="455"/>
      <c r="M1640" s="455"/>
      <c r="N1640" s="455"/>
      <c r="O1640" s="455"/>
      <c r="P1640" s="456"/>
      <c r="Q1640" s="63"/>
      <c r="R1640" s="64"/>
    </row>
    <row r="1641" spans="1:18" x14ac:dyDescent="0.2">
      <c r="A1641" s="83"/>
      <c r="B1641" s="489" t="s">
        <v>234</v>
      </c>
      <c r="C1641" s="490"/>
      <c r="D1641" s="490"/>
      <c r="E1641" s="490"/>
      <c r="F1641" s="490"/>
      <c r="G1641" s="490"/>
      <c r="H1641" s="490"/>
      <c r="I1641" s="491"/>
      <c r="J1641" s="80">
        <v>3</v>
      </c>
      <c r="K1641" s="454"/>
      <c r="L1641" s="455"/>
      <c r="M1641" s="455"/>
      <c r="N1641" s="455"/>
      <c r="O1641" s="455"/>
      <c r="P1641" s="456"/>
      <c r="Q1641" s="63"/>
      <c r="R1641" s="64"/>
    </row>
    <row r="1642" spans="1:18" x14ac:dyDescent="0.2">
      <c r="A1642" s="83"/>
      <c r="B1642" s="468"/>
      <c r="C1642" s="468"/>
      <c r="D1642" s="468"/>
      <c r="E1642" s="468"/>
      <c r="F1642" s="468"/>
      <c r="G1642" s="468"/>
      <c r="H1642" s="468"/>
      <c r="I1642" s="468"/>
      <c r="J1642" s="468"/>
      <c r="K1642" s="468"/>
      <c r="L1642" s="468"/>
      <c r="M1642" s="468"/>
      <c r="N1642" s="468"/>
      <c r="O1642" s="468"/>
      <c r="P1642" s="468"/>
      <c r="Q1642" s="63"/>
      <c r="R1642" s="64"/>
    </row>
    <row r="1643" spans="1:18" ht="12" customHeight="1" x14ac:dyDescent="0.2">
      <c r="A1643" s="83"/>
      <c r="B1643" s="469" t="s">
        <v>84</v>
      </c>
      <c r="C1643" s="471" t="str">
        <f>IF(CODE(B1643)=89,"This candidate would like to receive Special","This candidate would not like to receive Special")</f>
        <v>This candidate would like to receive Special</v>
      </c>
      <c r="D1643" s="472"/>
      <c r="E1643" s="472"/>
      <c r="F1643" s="472"/>
      <c r="G1643" s="472"/>
      <c r="H1643" s="472"/>
      <c r="I1643" s="473"/>
      <c r="J1643" s="81"/>
      <c r="K1643" s="474" t="s">
        <v>283</v>
      </c>
      <c r="L1643" s="474"/>
      <c r="M1643" s="475"/>
      <c r="N1643" s="51" t="str">
        <f>IF($P$33&gt;=47,47,"")</f>
        <v/>
      </c>
      <c r="O1643" s="62" t="s">
        <v>52</v>
      </c>
      <c r="P1643" s="51" t="str">
        <f>IF($P$33&gt;=47,$P$33,"")</f>
        <v/>
      </c>
      <c r="Q1643" s="63"/>
      <c r="R1643" s="64"/>
    </row>
    <row r="1644" spans="1:18" ht="12" customHeight="1" x14ac:dyDescent="0.2">
      <c r="A1644" s="83"/>
      <c r="B1644" s="470"/>
      <c r="C1644" s="476" t="str">
        <f>IF(CODE(B1643)=89,"Announcements and Bulletins from RAD Canada","Announcements and Bulletins from RAD Canada")</f>
        <v>Announcements and Bulletins from RAD Canada</v>
      </c>
      <c r="D1644" s="477"/>
      <c r="E1644" s="477"/>
      <c r="F1644" s="477"/>
      <c r="G1644" s="477"/>
      <c r="H1644" s="477"/>
      <c r="I1644" s="478"/>
      <c r="J1644" s="479"/>
      <c r="K1644" s="400"/>
      <c r="L1644" s="400"/>
      <c r="M1644" s="400"/>
      <c r="N1644" s="400"/>
      <c r="O1644" s="400"/>
      <c r="P1644" s="400"/>
      <c r="Q1644" s="63"/>
      <c r="R1644" s="64"/>
    </row>
    <row r="1645" spans="1:18" x14ac:dyDescent="0.2">
      <c r="A1645" s="83"/>
      <c r="B1645" s="81"/>
      <c r="C1645" s="81"/>
      <c r="D1645" s="81"/>
      <c r="E1645" s="81"/>
      <c r="F1645" s="81"/>
      <c r="G1645" s="81"/>
      <c r="H1645" s="81"/>
      <c r="I1645" s="81"/>
      <c r="J1645" s="81"/>
      <c r="K1645" s="81"/>
      <c r="L1645" s="81"/>
      <c r="M1645" s="81"/>
      <c r="N1645" s="81"/>
      <c r="O1645" s="81"/>
      <c r="P1645" s="81"/>
      <c r="Q1645" s="63"/>
      <c r="R1645" s="64"/>
    </row>
    <row r="1646" spans="1:18" x14ac:dyDescent="0.2">
      <c r="A1646" s="83"/>
      <c r="B1646" s="62"/>
      <c r="C1646" s="62"/>
      <c r="D1646" s="62"/>
      <c r="E1646" s="62"/>
      <c r="F1646" s="62"/>
      <c r="G1646" s="62"/>
      <c r="H1646" s="62"/>
      <c r="I1646" s="62"/>
      <c r="J1646" s="62"/>
      <c r="K1646" s="62"/>
      <c r="L1646" s="62"/>
      <c r="M1646" s="62"/>
      <c r="N1646" s="62"/>
      <c r="O1646" s="62"/>
      <c r="P1646" s="62"/>
      <c r="Q1646" s="63"/>
      <c r="R1646" s="64"/>
    </row>
    <row r="1647" spans="1:18" x14ac:dyDescent="0.2">
      <c r="A1647" s="83"/>
      <c r="B1647" s="401" t="s">
        <v>201</v>
      </c>
      <c r="C1647" s="402"/>
      <c r="D1647" s="402"/>
      <c r="E1647" s="402"/>
      <c r="F1647" s="402"/>
      <c r="G1647" s="402"/>
      <c r="H1647" s="62"/>
      <c r="I1647" s="62"/>
      <c r="J1647" s="62"/>
      <c r="K1647" s="62"/>
      <c r="L1647" s="62"/>
      <c r="M1647" s="62"/>
      <c r="N1647" s="62"/>
      <c r="O1647" s="62"/>
      <c r="P1647" s="62"/>
      <c r="Q1647" s="63"/>
      <c r="R1647" s="64"/>
    </row>
    <row r="1648" spans="1:18" ht="15.75" x14ac:dyDescent="0.25">
      <c r="A1648" s="83"/>
      <c r="B1648" s="402"/>
      <c r="C1648" s="402"/>
      <c r="D1648" s="402"/>
      <c r="E1648" s="402"/>
      <c r="F1648" s="402"/>
      <c r="G1648" s="402"/>
      <c r="H1648" s="82"/>
      <c r="I1648" s="403"/>
      <c r="J1648" s="403"/>
      <c r="K1648" s="403"/>
      <c r="L1648" s="403"/>
      <c r="M1648" s="403"/>
      <c r="N1648" s="403"/>
      <c r="O1648" s="403"/>
      <c r="P1648" s="403"/>
      <c r="Q1648" s="63"/>
      <c r="R1648" s="64"/>
    </row>
    <row r="1649" spans="1:20" x14ac:dyDescent="0.2">
      <c r="A1649" s="83"/>
      <c r="B1649" s="400"/>
      <c r="C1649" s="400"/>
      <c r="D1649" s="400"/>
      <c r="E1649" s="400"/>
      <c r="F1649" s="400"/>
      <c r="G1649" s="400"/>
      <c r="H1649" s="400"/>
      <c r="I1649" s="400"/>
      <c r="J1649" s="400"/>
      <c r="K1649" s="400"/>
      <c r="L1649" s="400"/>
      <c r="M1649" s="403"/>
      <c r="N1649" s="403"/>
      <c r="O1649" s="403"/>
      <c r="P1649" s="403"/>
      <c r="Q1649" s="63"/>
      <c r="R1649" s="64"/>
    </row>
    <row r="1650" spans="1:20" x14ac:dyDescent="0.2">
      <c r="A1650" s="83"/>
      <c r="B1650" s="404" t="s">
        <v>260</v>
      </c>
      <c r="C1650" s="404"/>
      <c r="D1650" s="404"/>
      <c r="E1650" s="404"/>
      <c r="F1650" s="400"/>
      <c r="G1650" s="400"/>
      <c r="H1650" s="400"/>
      <c r="I1650" s="400"/>
      <c r="J1650" s="400"/>
      <c r="K1650" s="400"/>
      <c r="L1650" s="400"/>
      <c r="M1650" s="403"/>
      <c r="N1650" s="403"/>
      <c r="O1650" s="403"/>
      <c r="P1650" s="403"/>
      <c r="Q1650" s="63"/>
      <c r="R1650" s="64"/>
    </row>
    <row r="1651" spans="1:20" x14ac:dyDescent="0.2">
      <c r="A1651" s="83"/>
      <c r="B1651" s="69"/>
      <c r="C1651" s="324" t="s">
        <v>75</v>
      </c>
      <c r="D1651" s="408"/>
      <c r="E1651" s="409"/>
      <c r="F1651" s="400"/>
      <c r="G1651" s="400"/>
      <c r="H1651" s="400"/>
      <c r="I1651" s="400"/>
      <c r="J1651" s="400"/>
      <c r="K1651" s="400"/>
      <c r="L1651" s="400"/>
      <c r="M1651" s="70"/>
      <c r="N1651" s="70"/>
      <c r="O1651" s="70"/>
      <c r="P1651" s="70"/>
      <c r="Q1651" s="63"/>
      <c r="R1651" s="64"/>
    </row>
    <row r="1652" spans="1:20" x14ac:dyDescent="0.2">
      <c r="A1652" s="83"/>
      <c r="B1652" s="71"/>
      <c r="C1652" s="324" t="s">
        <v>128</v>
      </c>
      <c r="D1652" s="408"/>
      <c r="E1652" s="409"/>
      <c r="F1652" s="400"/>
      <c r="G1652" s="400"/>
      <c r="H1652" s="400"/>
      <c r="I1652" s="400"/>
      <c r="J1652" s="400"/>
      <c r="K1652" s="400"/>
      <c r="L1652" s="400"/>
      <c r="M1652" s="407" t="s">
        <v>256</v>
      </c>
      <c r="N1652" s="407"/>
      <c r="O1652" s="407"/>
      <c r="P1652" s="407"/>
      <c r="Q1652" s="63"/>
      <c r="R1652" s="64"/>
    </row>
    <row r="1653" spans="1:20" x14ac:dyDescent="0.2">
      <c r="A1653" s="83"/>
      <c r="B1653" s="56"/>
      <c r="C1653" s="324" t="s">
        <v>277</v>
      </c>
      <c r="D1653" s="408"/>
      <c r="E1653" s="409"/>
      <c r="F1653" s="400"/>
      <c r="G1653" s="400"/>
      <c r="H1653" s="400"/>
      <c r="I1653" s="400"/>
      <c r="J1653" s="400"/>
      <c r="K1653" s="400"/>
      <c r="L1653" s="400"/>
      <c r="M1653" s="407"/>
      <c r="N1653" s="407"/>
      <c r="O1653" s="407"/>
      <c r="P1653" s="407"/>
      <c r="Q1653" s="63"/>
      <c r="R1653" s="64"/>
    </row>
    <row r="1654" spans="1:20" x14ac:dyDescent="0.2">
      <c r="A1654" s="83"/>
      <c r="B1654" s="520"/>
      <c r="C1654" s="520"/>
      <c r="D1654" s="520"/>
      <c r="E1654" s="520"/>
      <c r="F1654" s="520"/>
      <c r="G1654" s="520"/>
      <c r="H1654" s="520"/>
      <c r="I1654" s="520"/>
      <c r="J1654" s="520"/>
      <c r="K1654" s="520"/>
      <c r="L1654" s="520"/>
      <c r="M1654" s="520"/>
      <c r="N1654" s="520"/>
      <c r="O1654" s="520"/>
      <c r="P1654" s="520"/>
      <c r="Q1654" s="63"/>
      <c r="R1654" s="64"/>
    </row>
    <row r="1655" spans="1:20" x14ac:dyDescent="0.2">
      <c r="A1655" s="83"/>
      <c r="B1655" s="432" t="s">
        <v>117</v>
      </c>
      <c r="C1655" s="433"/>
      <c r="D1655" s="434"/>
      <c r="E1655" s="442" t="str">
        <f>IF(AND($P$33&gt;=48,NOT(ISBLANK($E$10))),$E$10,"")</f>
        <v/>
      </c>
      <c r="F1655" s="443"/>
      <c r="G1655" s="444"/>
      <c r="H1655" s="414" t="s">
        <v>124</v>
      </c>
      <c r="I1655" s="415"/>
      <c r="J1655" s="442" t="str">
        <f>IF(AND($P$33&gt;=48,NOT(ISBLANK($J$10))),$J$10,"")</f>
        <v/>
      </c>
      <c r="K1655" s="443"/>
      <c r="L1655" s="444"/>
      <c r="M1655" s="414" t="s">
        <v>118</v>
      </c>
      <c r="N1655" s="415"/>
      <c r="O1655" s="430" t="str">
        <f>IF(AND($P$33&gt;=48,NOT(ISBLANK($O$10))),$O$10,"")</f>
        <v/>
      </c>
      <c r="P1655" s="521"/>
      <c r="Q1655" s="63"/>
      <c r="R1655" s="545" t="s">
        <v>307</v>
      </c>
      <c r="S1655" s="546"/>
      <c r="T1655" s="547"/>
    </row>
    <row r="1656" spans="1:20" x14ac:dyDescent="0.2">
      <c r="A1656" s="83"/>
      <c r="B1656" s="432" t="s">
        <v>240</v>
      </c>
      <c r="C1656" s="433"/>
      <c r="D1656" s="434"/>
      <c r="E1656" s="435" t="str">
        <f>IF(NOT($N1678=48),"",IF(ISERROR(LOOKUP(48,'Teacher Summary Sheet'!$M$19:$M$181)),"",IF(VLOOKUP(48,'Teacher Summary Sheet'!$M$19:$R$181,2)=0,"",VLOOKUP(48,'Teacher Summary Sheet'!$M$19:$R$181,2))))</f>
        <v/>
      </c>
      <c r="F1656" s="436"/>
      <c r="G1656" s="437"/>
      <c r="H1656" s="438" t="s">
        <v>119</v>
      </c>
      <c r="I1656" s="439"/>
      <c r="J1656" s="102" t="str">
        <f>IF(NOT($N1678=48),"",IF(ISERROR(LOOKUP(48,'Teacher Summary Sheet'!$M$19:$M$181)),"",IF(VLOOKUP(48,'Teacher Summary Sheet'!$M$19:$R$181,6)=0,"",VLOOKUP(48,'Teacher Summary Sheet'!$M$19:$R$181,6))))</f>
        <v/>
      </c>
      <c r="K1656" s="414" t="s">
        <v>179</v>
      </c>
      <c r="L1656" s="419"/>
      <c r="M1656" s="415"/>
      <c r="N1656" s="412" t="str">
        <f>IF(NOT($N1678=48),"",IF(ISERROR(LOOKUP(48,'Teacher Summary Sheet'!$M$19:$M$181)),"",IF('Teacher Summary Sheet'!$F$31=0,"",'Teacher Summary Sheet'!$F$31)))</f>
        <v/>
      </c>
      <c r="O1656" s="440"/>
      <c r="P1656" s="413"/>
      <c r="Q1656" s="63"/>
      <c r="R1656" s="548"/>
      <c r="S1656" s="549"/>
      <c r="T1656" s="550"/>
    </row>
    <row r="1657" spans="1:20" ht="14.25" x14ac:dyDescent="0.2">
      <c r="A1657" s="83"/>
      <c r="B1657" s="410" t="s">
        <v>241</v>
      </c>
      <c r="C1657" s="420"/>
      <c r="D1657" s="411"/>
      <c r="E1657" s="421" t="str">
        <f>IF(NOT($N1678=48),"",IF(ISERROR(LOOKUP(48,'Teacher Summary Sheet'!$M$19:$M$181)),"",IF(VLOOKUP(48,'Teacher Summary Sheet'!$M$19:$R$181,3)=0,"",VLOOKUP(48,'Teacher Summary Sheet'!$M$19:$R$181,3))))</f>
        <v/>
      </c>
      <c r="F1657" s="422"/>
      <c r="G1657" s="422"/>
      <c r="H1657" s="422"/>
      <c r="I1657" s="423"/>
      <c r="J1657" s="414" t="s">
        <v>124</v>
      </c>
      <c r="K1657" s="415"/>
      <c r="L1657" s="424" t="str">
        <f>IF(NOT($N1678=48),"",IF(ISERROR(LOOKUP(48,'Teacher Summary Sheet'!$M$19:$M$181)),"",IF(VLOOKUP(48,'Teacher Summary Sheet'!$M$19:$R$181,4)=0,"",VLOOKUP(48,'Teacher Summary Sheet'!$M$19:$R$181,4))))</f>
        <v/>
      </c>
      <c r="M1657" s="425"/>
      <c r="N1657" s="425"/>
      <c r="O1657" s="425"/>
      <c r="P1657" s="426"/>
      <c r="Q1657" s="63"/>
      <c r="R1657" s="125" t="str">
        <f>IF(NOT(N1678=48),"",IF(COUNTIF(R1659:R1665,"P")=7,"P","O"))</f>
        <v/>
      </c>
      <c r="S1657" s="110" t="str">
        <f>IF(NOT(N1678=48),"",IF(COUNTIF(R1659:R1665,"P")=7,"Complete","Incomplete"))</f>
        <v/>
      </c>
      <c r="T1657" s="111"/>
    </row>
    <row r="1658" spans="1:20" x14ac:dyDescent="0.2">
      <c r="A1658" s="83"/>
      <c r="B1658" s="410" t="s">
        <v>120</v>
      </c>
      <c r="C1658" s="420"/>
      <c r="D1658" s="411"/>
      <c r="E1658" s="427"/>
      <c r="F1658" s="428"/>
      <c r="G1658" s="428"/>
      <c r="H1658" s="428"/>
      <c r="I1658" s="428"/>
      <c r="J1658" s="429"/>
      <c r="K1658" s="62" t="s">
        <v>121</v>
      </c>
      <c r="L1658" s="427"/>
      <c r="M1658" s="428"/>
      <c r="N1658" s="428"/>
      <c r="O1658" s="428"/>
      <c r="P1658" s="429"/>
      <c r="Q1658" s="63"/>
    </row>
    <row r="1659" spans="1:20" ht="14.25" x14ac:dyDescent="0.2">
      <c r="A1659" s="83"/>
      <c r="B1659" s="410" t="s">
        <v>196</v>
      </c>
      <c r="C1659" s="420"/>
      <c r="D1659" s="411"/>
      <c r="E1659" s="427"/>
      <c r="F1659" s="428"/>
      <c r="G1659" s="428"/>
      <c r="H1659" s="428"/>
      <c r="I1659" s="429"/>
      <c r="J1659" s="73" t="s">
        <v>197</v>
      </c>
      <c r="K1659" s="405"/>
      <c r="L1659" s="406"/>
      <c r="M1659" s="414" t="s">
        <v>212</v>
      </c>
      <c r="N1659" s="415"/>
      <c r="O1659" s="405"/>
      <c r="P1659" s="406"/>
      <c r="Q1659" s="63"/>
      <c r="R1659" s="124" t="str">
        <f>IF(NOT(N1678=48),"",IF(OR(COUNTBLANK(E1657:E1657)=1,COUNTBLANK(L1657:L1657)=1),"O","P"))</f>
        <v/>
      </c>
      <c r="S1659" s="108" t="str">
        <f>IF(NOT(N1678=48),"","Candidate Name")</f>
        <v/>
      </c>
      <c r="T1659" s="64"/>
    </row>
    <row r="1660" spans="1:20" ht="14.25" x14ac:dyDescent="0.2">
      <c r="A1660" s="83"/>
      <c r="B1660" s="410" t="s">
        <v>198</v>
      </c>
      <c r="C1660" s="420"/>
      <c r="D1660" s="411"/>
      <c r="E1660" s="454"/>
      <c r="F1660" s="455"/>
      <c r="G1660" s="455"/>
      <c r="H1660" s="456"/>
      <c r="I1660" s="74" t="s">
        <v>199</v>
      </c>
      <c r="J1660" s="427"/>
      <c r="K1660" s="428"/>
      <c r="L1660" s="428"/>
      <c r="M1660" s="428"/>
      <c r="N1660" s="428"/>
      <c r="O1660" s="428"/>
      <c r="P1660" s="429"/>
      <c r="Q1660" s="63"/>
      <c r="R1660" s="124" t="str">
        <f>IF(NOT(N1678=48),"",IF(COUNTBLANK(E1656:E1656)=1,"O","P"))</f>
        <v/>
      </c>
      <c r="S1660" s="108" t="str">
        <f>IF(NOT(N1678=48),"","Candidate ID")</f>
        <v/>
      </c>
      <c r="T1660" s="64"/>
    </row>
    <row r="1661" spans="1:20" ht="14.25" x14ac:dyDescent="0.2">
      <c r="A1661" s="83"/>
      <c r="B1661" s="410" t="s">
        <v>227</v>
      </c>
      <c r="C1661" s="420"/>
      <c r="D1661" s="411"/>
      <c r="E1661" s="75" t="s">
        <v>218</v>
      </c>
      <c r="F1661" s="405"/>
      <c r="G1661" s="448"/>
      <c r="H1661" s="75" t="s">
        <v>138</v>
      </c>
      <c r="I1661" s="449"/>
      <c r="J1661" s="450"/>
      <c r="K1661" s="76" t="s">
        <v>139</v>
      </c>
      <c r="L1661" s="451"/>
      <c r="M1661" s="452"/>
      <c r="N1661" s="76" t="s">
        <v>228</v>
      </c>
      <c r="O1661" s="453" t="str">
        <f ca="1">IF(OR(ISBLANK(L1661),ISBLANK(I1661),ISBLANK(F1661),COUNTBLANK(J1656:J1656)=1),"",IF(DATEDIF(DATE(L1661,VLOOKUP(I1661,data!$T$2:$U$13,2,FALSE),F1661),IF(AND(TODAY()&lt;data!$AJ$12,TODAY()&gt;data!$AI$12),data!$AI$3,data!$AJ$3),"Y")&gt;=data!$AC$50,YEAR(TODAY())-L1661,data!$AD$3))</f>
        <v/>
      </c>
      <c r="P1661" s="413"/>
      <c r="Q1661" s="63"/>
      <c r="R1661" s="124" t="str">
        <f>IF(NOT(N1678=48),"",IF(OR(ISBLANK(E1658),ISBLANK(L1658),ISBLANK(K1659),ISBLANK(O1659)),"O","P"))</f>
        <v/>
      </c>
      <c r="S1661" s="108" t="str">
        <f>IF(NOT(N1678=48),"","Address")</f>
        <v/>
      </c>
      <c r="T1661" s="64"/>
    </row>
    <row r="1662" spans="1:20" ht="15" thickBot="1" x14ac:dyDescent="0.25">
      <c r="A1662" s="83"/>
      <c r="B1662" s="410" t="s">
        <v>214</v>
      </c>
      <c r="C1662" s="411"/>
      <c r="D1662" s="412" t="str">
        <f>IF(NOT($N1678=48),"",IF(ISERROR(LOOKUP(48,'Teacher Summary Sheet'!$M$19:$M$181)),"",IF(VLOOKUP(48,'Teacher Summary Sheet'!$M$19:$R$181,5)=0,"",VLOOKUP(48,'Teacher Summary Sheet'!$M$19:$R$181,5))))</f>
        <v/>
      </c>
      <c r="E1662" s="413"/>
      <c r="F1662" s="414" t="s">
        <v>319</v>
      </c>
      <c r="G1662" s="415"/>
      <c r="H1662" s="416"/>
      <c r="I1662" s="417"/>
      <c r="J1662" s="418"/>
      <c r="K1662" s="414" t="s">
        <v>320</v>
      </c>
      <c r="L1662" s="419"/>
      <c r="M1662" s="419"/>
      <c r="N1662" s="415"/>
      <c r="O1662" s="405" t="s">
        <v>268</v>
      </c>
      <c r="P1662" s="406"/>
      <c r="Q1662" s="63"/>
      <c r="R1662" s="124" t="str">
        <f>IF(NOT(N1678=48),"",IF(OR(ISBLANK(F1661),ISBLANK(I1661),ISBLANK(L1661)),"O","P"))</f>
        <v/>
      </c>
      <c r="S1662" s="108" t="str">
        <f>IF(NOT(N1678=48),"","Date of Birth")</f>
        <v/>
      </c>
      <c r="T1662" s="64"/>
    </row>
    <row r="1663" spans="1:20" ht="14.25" x14ac:dyDescent="0.2">
      <c r="A1663" s="83"/>
      <c r="B1663" s="522" t="s">
        <v>297</v>
      </c>
      <c r="C1663" s="463"/>
      <c r="D1663" s="463"/>
      <c r="E1663" s="463"/>
      <c r="F1663" s="463"/>
      <c r="G1663" s="463"/>
      <c r="H1663" s="463"/>
      <c r="I1663" s="463"/>
      <c r="J1663" s="463"/>
      <c r="K1663" s="463"/>
      <c r="L1663" s="463"/>
      <c r="M1663" s="463"/>
      <c r="N1663" s="463"/>
      <c r="O1663" s="463"/>
      <c r="P1663" s="464"/>
      <c r="Q1663" s="63"/>
      <c r="R1663" s="124" t="str">
        <f>IF(NOT(N1678=48),"",IF(COUNTBLANK(J1656:J1656)=1,"O","P"))</f>
        <v/>
      </c>
      <c r="S1663" s="112" t="str">
        <f>IF(NOT(N1678=48),"","Exam Level")</f>
        <v/>
      </c>
      <c r="T1663" s="64"/>
    </row>
    <row r="1664" spans="1:20" ht="14.25" x14ac:dyDescent="0.2">
      <c r="A1664" s="83"/>
      <c r="B1664" s="465"/>
      <c r="C1664" s="466"/>
      <c r="D1664" s="466"/>
      <c r="E1664" s="466"/>
      <c r="F1664" s="466"/>
      <c r="G1664" s="466"/>
      <c r="H1664" s="466"/>
      <c r="I1664" s="466"/>
      <c r="J1664" s="466"/>
      <c r="K1664" s="466"/>
      <c r="L1664" s="466"/>
      <c r="M1664" s="466"/>
      <c r="N1664" s="466"/>
      <c r="O1664" s="466"/>
      <c r="P1664" s="467"/>
      <c r="Q1664" s="63"/>
      <c r="R1664" s="124" t="str">
        <f>IF(NOT(N1678=48),"",IF(COUNTBLANK(D1662:D1662)=1,"O","P"))</f>
        <v/>
      </c>
      <c r="S1664" s="109" t="str">
        <f>IF(NOT(N1678=48),"","Gender")</f>
        <v/>
      </c>
      <c r="T1664" s="64"/>
    </row>
    <row r="1665" spans="1:20" ht="14.25" x14ac:dyDescent="0.2">
      <c r="A1665" s="83"/>
      <c r="B1665" s="432" t="s">
        <v>298</v>
      </c>
      <c r="C1665" s="433"/>
      <c r="D1665" s="434"/>
      <c r="E1665" s="405"/>
      <c r="F1665" s="406"/>
      <c r="G1665" s="432" t="s">
        <v>299</v>
      </c>
      <c r="H1665" s="433"/>
      <c r="I1665" s="434"/>
      <c r="J1665" s="405"/>
      <c r="K1665" s="448"/>
      <c r="L1665" s="406"/>
      <c r="M1665" s="414" t="s">
        <v>300</v>
      </c>
      <c r="N1665" s="415"/>
      <c r="O1665" s="457"/>
      <c r="P1665" s="458"/>
      <c r="Q1665" s="63"/>
      <c r="R1665" s="124" t="str">
        <f>IF(NOT(N1678=48),"",IF(ISBLANK(H1662),"O","P"))</f>
        <v/>
      </c>
      <c r="S1665" s="109" t="str">
        <f>IF(NOT(N1678=48),"","Height")</f>
        <v/>
      </c>
      <c r="T1665" s="64"/>
    </row>
    <row r="1666" spans="1:20" x14ac:dyDescent="0.2">
      <c r="A1666" s="83"/>
      <c r="B1666" s="77" t="s">
        <v>153</v>
      </c>
      <c r="C1666" s="405"/>
      <c r="D1666" s="406"/>
      <c r="E1666" s="414" t="s">
        <v>301</v>
      </c>
      <c r="F1666" s="415"/>
      <c r="G1666" s="459"/>
      <c r="H1666" s="460"/>
      <c r="I1666" s="461"/>
      <c r="J1666" s="414" t="s">
        <v>302</v>
      </c>
      <c r="K1666" s="415"/>
      <c r="L1666" s="454"/>
      <c r="M1666" s="455"/>
      <c r="N1666" s="455"/>
      <c r="O1666" s="455"/>
      <c r="P1666" s="456"/>
      <c r="Q1666" s="63"/>
      <c r="R1666" s="64"/>
      <c r="S1666" s="64"/>
      <c r="T1666" s="64"/>
    </row>
    <row r="1667" spans="1:20" x14ac:dyDescent="0.2">
      <c r="A1667" s="83"/>
      <c r="B1667" s="410" t="s">
        <v>116</v>
      </c>
      <c r="C1667" s="420"/>
      <c r="D1667" s="420"/>
      <c r="E1667" s="420"/>
      <c r="F1667" s="420"/>
      <c r="G1667" s="420"/>
      <c r="H1667" s="420"/>
      <c r="I1667" s="420"/>
      <c r="J1667" s="420"/>
      <c r="K1667" s="420"/>
      <c r="L1667" s="420"/>
      <c r="M1667" s="420"/>
      <c r="N1667" s="420"/>
      <c r="O1667" s="420"/>
      <c r="P1667" s="411"/>
      <c r="Q1667" s="63"/>
      <c r="R1667" s="64"/>
      <c r="S1667" s="64"/>
      <c r="T1667" s="64"/>
    </row>
    <row r="1668" spans="1:20" x14ac:dyDescent="0.2">
      <c r="A1668" s="83"/>
      <c r="B1668" s="410" t="s">
        <v>298</v>
      </c>
      <c r="C1668" s="420"/>
      <c r="D1668" s="411"/>
      <c r="E1668" s="405"/>
      <c r="F1668" s="406"/>
      <c r="G1668" s="410" t="s">
        <v>299</v>
      </c>
      <c r="H1668" s="420"/>
      <c r="I1668" s="411"/>
      <c r="J1668" s="454"/>
      <c r="K1668" s="455"/>
      <c r="L1668" s="456"/>
      <c r="M1668" s="414" t="s">
        <v>300</v>
      </c>
      <c r="N1668" s="415"/>
      <c r="O1668" s="457"/>
      <c r="P1668" s="458"/>
      <c r="Q1668" s="63"/>
      <c r="R1668" s="64"/>
    </row>
    <row r="1669" spans="1:20" ht="13.5" thickBot="1" x14ac:dyDescent="0.25">
      <c r="A1669" s="83"/>
      <c r="B1669" s="78" t="s">
        <v>153</v>
      </c>
      <c r="C1669" s="492"/>
      <c r="D1669" s="493"/>
      <c r="E1669" s="494" t="s">
        <v>301</v>
      </c>
      <c r="F1669" s="495"/>
      <c r="G1669" s="496"/>
      <c r="H1669" s="497"/>
      <c r="I1669" s="498"/>
      <c r="J1669" s="414" t="s">
        <v>302</v>
      </c>
      <c r="K1669" s="415"/>
      <c r="L1669" s="454"/>
      <c r="M1669" s="455"/>
      <c r="N1669" s="455"/>
      <c r="O1669" s="455"/>
      <c r="P1669" s="456"/>
      <c r="Q1669" s="63"/>
      <c r="R1669" s="64"/>
    </row>
    <row r="1670" spans="1:20" x14ac:dyDescent="0.2">
      <c r="A1670" s="83"/>
      <c r="B1670" s="499" t="s">
        <v>126</v>
      </c>
      <c r="C1670" s="500"/>
      <c r="D1670" s="500"/>
      <c r="E1670" s="500"/>
      <c r="F1670" s="500"/>
      <c r="G1670" s="500"/>
      <c r="H1670" s="500"/>
      <c r="I1670" s="501"/>
      <c r="J1670" s="505"/>
      <c r="K1670" s="506"/>
      <c r="L1670" s="506"/>
      <c r="M1670" s="506"/>
      <c r="N1670" s="506"/>
      <c r="O1670" s="506"/>
      <c r="P1670" s="507"/>
      <c r="Q1670" s="63"/>
      <c r="R1670" s="64"/>
    </row>
    <row r="1671" spans="1:20" x14ac:dyDescent="0.2">
      <c r="A1671" s="83"/>
      <c r="B1671" s="502"/>
      <c r="C1671" s="503"/>
      <c r="D1671" s="503"/>
      <c r="E1671" s="503"/>
      <c r="F1671" s="503"/>
      <c r="G1671" s="503"/>
      <c r="H1671" s="503"/>
      <c r="I1671" s="504"/>
      <c r="J1671" s="508"/>
      <c r="K1671" s="509"/>
      <c r="L1671" s="509"/>
      <c r="M1671" s="509"/>
      <c r="N1671" s="509"/>
      <c r="O1671" s="509"/>
      <c r="P1671" s="510"/>
      <c r="Q1671" s="63"/>
      <c r="R1671" s="64"/>
    </row>
    <row r="1672" spans="1:20" x14ac:dyDescent="0.2">
      <c r="A1672" s="83"/>
      <c r="B1672" s="514" t="s">
        <v>127</v>
      </c>
      <c r="C1672" s="515"/>
      <c r="D1672" s="515"/>
      <c r="E1672" s="515"/>
      <c r="F1672" s="515"/>
      <c r="G1672" s="515"/>
      <c r="H1672" s="515"/>
      <c r="I1672" s="516"/>
      <c r="J1672" s="508"/>
      <c r="K1672" s="509"/>
      <c r="L1672" s="509"/>
      <c r="M1672" s="509"/>
      <c r="N1672" s="509"/>
      <c r="O1672" s="509"/>
      <c r="P1672" s="510"/>
      <c r="Q1672" s="63"/>
      <c r="R1672" s="64"/>
    </row>
    <row r="1673" spans="1:20" ht="13.5" thickBot="1" x14ac:dyDescent="0.25">
      <c r="A1673" s="83"/>
      <c r="B1673" s="517"/>
      <c r="C1673" s="518"/>
      <c r="D1673" s="518"/>
      <c r="E1673" s="518"/>
      <c r="F1673" s="518"/>
      <c r="G1673" s="518"/>
      <c r="H1673" s="518"/>
      <c r="I1673" s="519"/>
      <c r="J1673" s="511"/>
      <c r="K1673" s="512"/>
      <c r="L1673" s="512"/>
      <c r="M1673" s="512"/>
      <c r="N1673" s="512"/>
      <c r="O1673" s="512"/>
      <c r="P1673" s="513"/>
      <c r="Q1673" s="63"/>
      <c r="R1673" s="64"/>
    </row>
    <row r="1674" spans="1:20" x14ac:dyDescent="0.2">
      <c r="A1674" s="83"/>
      <c r="B1674" s="480" t="s">
        <v>10</v>
      </c>
      <c r="C1674" s="481"/>
      <c r="D1674" s="481"/>
      <c r="E1674" s="481"/>
      <c r="F1674" s="481"/>
      <c r="G1674" s="481"/>
      <c r="H1674" s="481"/>
      <c r="I1674" s="482"/>
      <c r="J1674" s="79">
        <v>1</v>
      </c>
      <c r="K1674" s="483"/>
      <c r="L1674" s="484"/>
      <c r="M1674" s="484"/>
      <c r="N1674" s="484"/>
      <c r="O1674" s="484"/>
      <c r="P1674" s="485"/>
      <c r="Q1674" s="63"/>
      <c r="R1674" s="64"/>
    </row>
    <row r="1675" spans="1:20" x14ac:dyDescent="0.2">
      <c r="A1675" s="83"/>
      <c r="B1675" s="486" t="s">
        <v>276</v>
      </c>
      <c r="C1675" s="487"/>
      <c r="D1675" s="487"/>
      <c r="E1675" s="487"/>
      <c r="F1675" s="487"/>
      <c r="G1675" s="487"/>
      <c r="H1675" s="487"/>
      <c r="I1675" s="488"/>
      <c r="J1675" s="80">
        <v>2</v>
      </c>
      <c r="K1675" s="454"/>
      <c r="L1675" s="455"/>
      <c r="M1675" s="455"/>
      <c r="N1675" s="455"/>
      <c r="O1675" s="455"/>
      <c r="P1675" s="456"/>
      <c r="Q1675" s="63"/>
      <c r="R1675" s="64"/>
    </row>
    <row r="1676" spans="1:20" x14ac:dyDescent="0.2">
      <c r="A1676" s="83"/>
      <c r="B1676" s="489" t="s">
        <v>234</v>
      </c>
      <c r="C1676" s="490"/>
      <c r="D1676" s="490"/>
      <c r="E1676" s="490"/>
      <c r="F1676" s="490"/>
      <c r="G1676" s="490"/>
      <c r="H1676" s="490"/>
      <c r="I1676" s="491"/>
      <c r="J1676" s="80">
        <v>3</v>
      </c>
      <c r="K1676" s="454"/>
      <c r="L1676" s="455"/>
      <c r="M1676" s="455"/>
      <c r="N1676" s="455"/>
      <c r="O1676" s="455"/>
      <c r="P1676" s="456"/>
      <c r="Q1676" s="63"/>
      <c r="R1676" s="64"/>
    </row>
    <row r="1677" spans="1:20" x14ac:dyDescent="0.2">
      <c r="A1677" s="83"/>
      <c r="B1677" s="468"/>
      <c r="C1677" s="468"/>
      <c r="D1677" s="468"/>
      <c r="E1677" s="468"/>
      <c r="F1677" s="468"/>
      <c r="G1677" s="468"/>
      <c r="H1677" s="468"/>
      <c r="I1677" s="468"/>
      <c r="J1677" s="468"/>
      <c r="K1677" s="468"/>
      <c r="L1677" s="468"/>
      <c r="M1677" s="468"/>
      <c r="N1677" s="468"/>
      <c r="O1677" s="468"/>
      <c r="P1677" s="468"/>
      <c r="Q1677" s="63"/>
      <c r="R1677" s="64"/>
    </row>
    <row r="1678" spans="1:20" ht="12" customHeight="1" x14ac:dyDescent="0.2">
      <c r="A1678" s="83"/>
      <c r="B1678" s="469" t="s">
        <v>84</v>
      </c>
      <c r="C1678" s="471" t="str">
        <f>IF(CODE(B1678)=89,"This candidate would like to receive Special","This candidate would not like to receive Special")</f>
        <v>This candidate would like to receive Special</v>
      </c>
      <c r="D1678" s="472"/>
      <c r="E1678" s="472"/>
      <c r="F1678" s="472"/>
      <c r="G1678" s="472"/>
      <c r="H1678" s="472"/>
      <c r="I1678" s="473"/>
      <c r="J1678" s="81"/>
      <c r="K1678" s="474" t="s">
        <v>205</v>
      </c>
      <c r="L1678" s="474"/>
      <c r="M1678" s="475"/>
      <c r="N1678" s="51" t="str">
        <f>IF($P$33&gt;=48,48,"")</f>
        <v/>
      </c>
      <c r="O1678" s="62" t="s">
        <v>52</v>
      </c>
      <c r="P1678" s="51" t="str">
        <f>IF($P$33&gt;=48,$P$33,"")</f>
        <v/>
      </c>
      <c r="Q1678" s="63"/>
      <c r="R1678" s="64"/>
    </row>
    <row r="1679" spans="1:20" ht="12" customHeight="1" x14ac:dyDescent="0.2">
      <c r="A1679" s="83"/>
      <c r="B1679" s="470"/>
      <c r="C1679" s="476" t="str">
        <f>IF(CODE(B1678)=89,"Announcements and Bulletins from RAD Canada","Announcements and Bulletins from RAD Canada")</f>
        <v>Announcements and Bulletins from RAD Canada</v>
      </c>
      <c r="D1679" s="477"/>
      <c r="E1679" s="477"/>
      <c r="F1679" s="477"/>
      <c r="G1679" s="477"/>
      <c r="H1679" s="477"/>
      <c r="I1679" s="478"/>
      <c r="J1679" s="479"/>
      <c r="K1679" s="400"/>
      <c r="L1679" s="400"/>
      <c r="M1679" s="400"/>
      <c r="N1679" s="400"/>
      <c r="O1679" s="400"/>
      <c r="P1679" s="400"/>
      <c r="Q1679" s="63"/>
      <c r="R1679" s="64"/>
    </row>
    <row r="1680" spans="1:20" x14ac:dyDescent="0.2">
      <c r="A1680" s="83"/>
      <c r="B1680" s="81"/>
      <c r="C1680" s="81"/>
      <c r="D1680" s="81"/>
      <c r="E1680" s="81"/>
      <c r="F1680" s="81"/>
      <c r="G1680" s="81"/>
      <c r="H1680" s="81"/>
      <c r="I1680" s="81"/>
      <c r="J1680" s="81"/>
      <c r="K1680" s="81"/>
      <c r="L1680" s="81"/>
      <c r="M1680" s="81"/>
      <c r="N1680" s="81"/>
      <c r="O1680" s="81"/>
      <c r="P1680" s="81"/>
      <c r="Q1680" s="63"/>
      <c r="R1680" s="64"/>
    </row>
    <row r="1681" spans="1:20" x14ac:dyDescent="0.2">
      <c r="A1681" s="83"/>
      <c r="B1681" s="62"/>
      <c r="C1681" s="62"/>
      <c r="D1681" s="62"/>
      <c r="E1681" s="62"/>
      <c r="F1681" s="62"/>
      <c r="G1681" s="62"/>
      <c r="H1681" s="62"/>
      <c r="I1681" s="62"/>
      <c r="J1681" s="62"/>
      <c r="K1681" s="62"/>
      <c r="L1681" s="62"/>
      <c r="M1681" s="62"/>
      <c r="N1681" s="62"/>
      <c r="O1681" s="62"/>
      <c r="P1681" s="62"/>
      <c r="Q1681" s="63"/>
      <c r="R1681" s="64"/>
    </row>
    <row r="1682" spans="1:20" x14ac:dyDescent="0.2">
      <c r="A1682" s="83"/>
      <c r="B1682" s="401" t="s">
        <v>233</v>
      </c>
      <c r="C1682" s="402"/>
      <c r="D1682" s="402"/>
      <c r="E1682" s="402"/>
      <c r="F1682" s="402"/>
      <c r="G1682" s="402"/>
      <c r="H1682" s="62"/>
      <c r="I1682" s="62"/>
      <c r="J1682" s="62"/>
      <c r="K1682" s="62"/>
      <c r="L1682" s="62"/>
      <c r="M1682" s="62"/>
      <c r="N1682" s="62"/>
      <c r="O1682" s="62"/>
      <c r="P1682" s="62"/>
      <c r="Q1682" s="63"/>
      <c r="R1682" s="64"/>
    </row>
    <row r="1683" spans="1:20" ht="15.75" x14ac:dyDescent="0.25">
      <c r="A1683" s="83"/>
      <c r="B1683" s="402"/>
      <c r="C1683" s="402"/>
      <c r="D1683" s="402"/>
      <c r="E1683" s="402"/>
      <c r="F1683" s="402"/>
      <c r="G1683" s="402"/>
      <c r="H1683" s="82"/>
      <c r="I1683" s="403"/>
      <c r="J1683" s="403"/>
      <c r="K1683" s="403"/>
      <c r="L1683" s="403"/>
      <c r="M1683" s="403"/>
      <c r="N1683" s="403"/>
      <c r="O1683" s="403"/>
      <c r="P1683" s="403"/>
      <c r="Q1683" s="63"/>
      <c r="R1683" s="64"/>
    </row>
    <row r="1684" spans="1:20" x14ac:dyDescent="0.2">
      <c r="A1684" s="83"/>
      <c r="B1684" s="400"/>
      <c r="C1684" s="400"/>
      <c r="D1684" s="400"/>
      <c r="E1684" s="400"/>
      <c r="F1684" s="400"/>
      <c r="G1684" s="400"/>
      <c r="H1684" s="400"/>
      <c r="I1684" s="400"/>
      <c r="J1684" s="400"/>
      <c r="K1684" s="400"/>
      <c r="L1684" s="400"/>
      <c r="M1684" s="403"/>
      <c r="N1684" s="403"/>
      <c r="O1684" s="403"/>
      <c r="P1684" s="403"/>
      <c r="Q1684" s="63"/>
      <c r="R1684" s="64"/>
    </row>
    <row r="1685" spans="1:20" x14ac:dyDescent="0.2">
      <c r="A1685" s="83"/>
      <c r="B1685" s="404" t="s">
        <v>260</v>
      </c>
      <c r="C1685" s="404"/>
      <c r="D1685" s="404"/>
      <c r="E1685" s="404"/>
      <c r="F1685" s="400"/>
      <c r="G1685" s="400"/>
      <c r="H1685" s="400"/>
      <c r="I1685" s="400"/>
      <c r="J1685" s="400"/>
      <c r="K1685" s="400"/>
      <c r="L1685" s="400"/>
      <c r="M1685" s="403"/>
      <c r="N1685" s="403"/>
      <c r="O1685" s="403"/>
      <c r="P1685" s="403"/>
      <c r="Q1685" s="63"/>
      <c r="R1685" s="64"/>
    </row>
    <row r="1686" spans="1:20" x14ac:dyDescent="0.2">
      <c r="A1686" s="83"/>
      <c r="B1686" s="69"/>
      <c r="C1686" s="324" t="s">
        <v>75</v>
      </c>
      <c r="D1686" s="408"/>
      <c r="E1686" s="409"/>
      <c r="F1686" s="400"/>
      <c r="G1686" s="400"/>
      <c r="H1686" s="400"/>
      <c r="I1686" s="400"/>
      <c r="J1686" s="400"/>
      <c r="K1686" s="400"/>
      <c r="L1686" s="400"/>
      <c r="M1686" s="70"/>
      <c r="N1686" s="70"/>
      <c r="O1686" s="70"/>
      <c r="P1686" s="70"/>
      <c r="Q1686" s="63"/>
      <c r="R1686" s="64"/>
    </row>
    <row r="1687" spans="1:20" x14ac:dyDescent="0.2">
      <c r="A1687" s="83"/>
      <c r="B1687" s="71"/>
      <c r="C1687" s="324" t="s">
        <v>128</v>
      </c>
      <c r="D1687" s="408"/>
      <c r="E1687" s="409"/>
      <c r="F1687" s="400"/>
      <c r="G1687" s="400"/>
      <c r="H1687" s="400"/>
      <c r="I1687" s="400"/>
      <c r="J1687" s="400"/>
      <c r="K1687" s="400"/>
      <c r="L1687" s="400"/>
      <c r="M1687" s="407" t="s">
        <v>256</v>
      </c>
      <c r="N1687" s="407"/>
      <c r="O1687" s="407"/>
      <c r="P1687" s="407"/>
      <c r="Q1687" s="63"/>
      <c r="R1687" s="64"/>
    </row>
    <row r="1688" spans="1:20" x14ac:dyDescent="0.2">
      <c r="A1688" s="83"/>
      <c r="B1688" s="56"/>
      <c r="C1688" s="324" t="s">
        <v>275</v>
      </c>
      <c r="D1688" s="408"/>
      <c r="E1688" s="409"/>
      <c r="F1688" s="400"/>
      <c r="G1688" s="400"/>
      <c r="H1688" s="400"/>
      <c r="I1688" s="400"/>
      <c r="J1688" s="400"/>
      <c r="K1688" s="400"/>
      <c r="L1688" s="400"/>
      <c r="M1688" s="407"/>
      <c r="N1688" s="407"/>
      <c r="O1688" s="407"/>
      <c r="P1688" s="407"/>
      <c r="Q1688" s="63"/>
      <c r="R1688" s="64"/>
    </row>
    <row r="1689" spans="1:20" x14ac:dyDescent="0.2">
      <c r="A1689" s="83"/>
      <c r="B1689" s="520"/>
      <c r="C1689" s="520"/>
      <c r="D1689" s="520"/>
      <c r="E1689" s="520"/>
      <c r="F1689" s="520"/>
      <c r="G1689" s="520"/>
      <c r="H1689" s="520"/>
      <c r="I1689" s="520"/>
      <c r="J1689" s="520"/>
      <c r="K1689" s="520"/>
      <c r="L1689" s="520"/>
      <c r="M1689" s="520"/>
      <c r="N1689" s="520"/>
      <c r="O1689" s="520"/>
      <c r="P1689" s="520"/>
      <c r="Q1689" s="63"/>
      <c r="R1689" s="64"/>
    </row>
    <row r="1690" spans="1:20" x14ac:dyDescent="0.2">
      <c r="A1690" s="83"/>
      <c r="B1690" s="432" t="s">
        <v>117</v>
      </c>
      <c r="C1690" s="433"/>
      <c r="D1690" s="434"/>
      <c r="E1690" s="442" t="str">
        <f>IF(AND($P$33&gt;=49,NOT(ISBLANK($E$10))),$E$10,"")</f>
        <v/>
      </c>
      <c r="F1690" s="443"/>
      <c r="G1690" s="444"/>
      <c r="H1690" s="414" t="s">
        <v>124</v>
      </c>
      <c r="I1690" s="415"/>
      <c r="J1690" s="442" t="str">
        <f>IF(AND($P$33&gt;=49,NOT(ISBLANK($J$10))),$J$10,"")</f>
        <v/>
      </c>
      <c r="K1690" s="443"/>
      <c r="L1690" s="444"/>
      <c r="M1690" s="414" t="s">
        <v>118</v>
      </c>
      <c r="N1690" s="415"/>
      <c r="O1690" s="430" t="str">
        <f>IF(AND($P$33&gt;=49,NOT(ISBLANK($O$10))),$O$10,"")</f>
        <v/>
      </c>
      <c r="P1690" s="521"/>
      <c r="Q1690" s="63"/>
      <c r="R1690" s="545" t="s">
        <v>307</v>
      </c>
      <c r="S1690" s="546"/>
      <c r="T1690" s="547"/>
    </row>
    <row r="1691" spans="1:20" x14ac:dyDescent="0.2">
      <c r="A1691" s="83"/>
      <c r="B1691" s="432" t="s">
        <v>240</v>
      </c>
      <c r="C1691" s="433"/>
      <c r="D1691" s="434"/>
      <c r="E1691" s="435" t="str">
        <f>IF(NOT($N1713=49),"",IF(ISERROR(LOOKUP(49,'Teacher Summary Sheet'!$M$19:$M$181)),"",IF(VLOOKUP(49,'Teacher Summary Sheet'!$M$19:$R$181,2)=0,"",VLOOKUP(49,'Teacher Summary Sheet'!$M$19:$R$181,2))))</f>
        <v/>
      </c>
      <c r="F1691" s="436"/>
      <c r="G1691" s="437"/>
      <c r="H1691" s="438" t="s">
        <v>119</v>
      </c>
      <c r="I1691" s="439"/>
      <c r="J1691" s="102" t="str">
        <f>IF(NOT($N1713=49),"",IF(ISERROR(LOOKUP(49,'Teacher Summary Sheet'!$M$19:$M$181)),"",IF(VLOOKUP(49,'Teacher Summary Sheet'!$M$19:$R$181,6)=0,"",VLOOKUP(49,'Teacher Summary Sheet'!$M$19:$R$181,6))))</f>
        <v/>
      </c>
      <c r="K1691" s="414" t="s">
        <v>179</v>
      </c>
      <c r="L1691" s="419"/>
      <c r="M1691" s="415"/>
      <c r="N1691" s="412" t="str">
        <f>IF(NOT($N1713=49),"",IF(ISERROR(LOOKUP(49,'Teacher Summary Sheet'!$M$19:$M$181)),"",IF('Teacher Summary Sheet'!$F$31=0,"",'Teacher Summary Sheet'!$F$31)))</f>
        <v/>
      </c>
      <c r="O1691" s="440"/>
      <c r="P1691" s="413"/>
      <c r="Q1691" s="63"/>
      <c r="R1691" s="548"/>
      <c r="S1691" s="549"/>
      <c r="T1691" s="550"/>
    </row>
    <row r="1692" spans="1:20" ht="14.25" x14ac:dyDescent="0.2">
      <c r="A1692" s="83"/>
      <c r="B1692" s="410" t="s">
        <v>241</v>
      </c>
      <c r="C1692" s="420"/>
      <c r="D1692" s="411"/>
      <c r="E1692" s="421" t="str">
        <f>IF(NOT($N1713=49),"",IF(ISERROR(LOOKUP(49,'Teacher Summary Sheet'!$M$19:$M$181)),"",IF(VLOOKUP(49,'Teacher Summary Sheet'!$M$19:$R$181,3)=0,"",VLOOKUP(49,'Teacher Summary Sheet'!$M$19:$R$181,3))))</f>
        <v/>
      </c>
      <c r="F1692" s="422"/>
      <c r="G1692" s="422"/>
      <c r="H1692" s="422"/>
      <c r="I1692" s="423"/>
      <c r="J1692" s="414" t="s">
        <v>124</v>
      </c>
      <c r="K1692" s="415"/>
      <c r="L1692" s="424" t="str">
        <f>IF(NOT($N1713=49),"",IF(ISERROR(LOOKUP(49,'Teacher Summary Sheet'!$M$19:$M$181)),"",IF(VLOOKUP(49,'Teacher Summary Sheet'!$M$19:$R$181,4)=0,"",VLOOKUP(49,'Teacher Summary Sheet'!$M$19:$R$181,4))))</f>
        <v/>
      </c>
      <c r="M1692" s="425"/>
      <c r="N1692" s="425"/>
      <c r="O1692" s="425"/>
      <c r="P1692" s="426"/>
      <c r="Q1692" s="63"/>
      <c r="R1692" s="125" t="str">
        <f>IF(NOT(N1713=49),"",IF(COUNTIF(R1694:R1700,"P")=7,"P","O"))</f>
        <v/>
      </c>
      <c r="S1692" s="110" t="str">
        <f>IF(NOT(N1713=49),"",IF(COUNTIF(R1694:R1700,"P")=7,"Complete","Incomplete"))</f>
        <v/>
      </c>
      <c r="T1692" s="111"/>
    </row>
    <row r="1693" spans="1:20" x14ac:dyDescent="0.2">
      <c r="A1693" s="83"/>
      <c r="B1693" s="410" t="s">
        <v>120</v>
      </c>
      <c r="C1693" s="420"/>
      <c r="D1693" s="411"/>
      <c r="E1693" s="427"/>
      <c r="F1693" s="428"/>
      <c r="G1693" s="428"/>
      <c r="H1693" s="428"/>
      <c r="I1693" s="428"/>
      <c r="J1693" s="429"/>
      <c r="K1693" s="62" t="s">
        <v>121</v>
      </c>
      <c r="L1693" s="427"/>
      <c r="M1693" s="428"/>
      <c r="N1693" s="428"/>
      <c r="O1693" s="428"/>
      <c r="P1693" s="429"/>
      <c r="Q1693" s="63"/>
    </row>
    <row r="1694" spans="1:20" ht="14.25" x14ac:dyDescent="0.2">
      <c r="A1694" s="83"/>
      <c r="B1694" s="410" t="s">
        <v>196</v>
      </c>
      <c r="C1694" s="420"/>
      <c r="D1694" s="411"/>
      <c r="E1694" s="427"/>
      <c r="F1694" s="428"/>
      <c r="G1694" s="428"/>
      <c r="H1694" s="428"/>
      <c r="I1694" s="429"/>
      <c r="J1694" s="73" t="s">
        <v>197</v>
      </c>
      <c r="K1694" s="405"/>
      <c r="L1694" s="406"/>
      <c r="M1694" s="414" t="s">
        <v>212</v>
      </c>
      <c r="N1694" s="415"/>
      <c r="O1694" s="405"/>
      <c r="P1694" s="406"/>
      <c r="Q1694" s="63"/>
      <c r="R1694" s="124" t="str">
        <f>IF(NOT(N1713=49),"",IF(OR(COUNTBLANK(E1692:E1692)=1,COUNTBLANK(L1692:L1692)=1),"O","P"))</f>
        <v/>
      </c>
      <c r="S1694" s="108" t="str">
        <f>IF(NOT(N1713=49),"","Candidate Name")</f>
        <v/>
      </c>
      <c r="T1694" s="64"/>
    </row>
    <row r="1695" spans="1:20" ht="14.25" x14ac:dyDescent="0.2">
      <c r="A1695" s="83"/>
      <c r="B1695" s="410" t="s">
        <v>198</v>
      </c>
      <c r="C1695" s="420"/>
      <c r="D1695" s="411"/>
      <c r="E1695" s="454"/>
      <c r="F1695" s="455"/>
      <c r="G1695" s="455"/>
      <c r="H1695" s="456"/>
      <c r="I1695" s="74" t="s">
        <v>199</v>
      </c>
      <c r="J1695" s="427"/>
      <c r="K1695" s="428"/>
      <c r="L1695" s="428"/>
      <c r="M1695" s="428"/>
      <c r="N1695" s="428"/>
      <c r="O1695" s="428"/>
      <c r="P1695" s="429"/>
      <c r="Q1695" s="63"/>
      <c r="R1695" s="124" t="str">
        <f>IF(NOT(N1713=49),"",IF(COUNTBLANK(E1691:E1691)=1,"O","P"))</f>
        <v/>
      </c>
      <c r="S1695" s="108" t="str">
        <f>IF(NOT(N1713=49),"","Candidate ID")</f>
        <v/>
      </c>
      <c r="T1695" s="64"/>
    </row>
    <row r="1696" spans="1:20" ht="14.25" x14ac:dyDescent="0.2">
      <c r="A1696" s="83"/>
      <c r="B1696" s="410" t="s">
        <v>227</v>
      </c>
      <c r="C1696" s="420"/>
      <c r="D1696" s="411"/>
      <c r="E1696" s="75" t="s">
        <v>218</v>
      </c>
      <c r="F1696" s="405"/>
      <c r="G1696" s="448"/>
      <c r="H1696" s="75" t="s">
        <v>138</v>
      </c>
      <c r="I1696" s="449"/>
      <c r="J1696" s="450"/>
      <c r="K1696" s="76" t="s">
        <v>139</v>
      </c>
      <c r="L1696" s="451"/>
      <c r="M1696" s="452"/>
      <c r="N1696" s="76" t="s">
        <v>228</v>
      </c>
      <c r="O1696" s="453" t="str">
        <f ca="1">IF(OR(ISBLANK(L1696),ISBLANK(I1696),ISBLANK(F1696),COUNTBLANK(J1691:J1691)=1),"",IF(DATEDIF(DATE(L1696,VLOOKUP(I1696,data!$T$2:$U$13,2,FALSE),F1696),IF(AND(TODAY()&lt;data!$AJ$12,TODAY()&gt;data!$AI$12),data!$AI$3,data!$AJ$3),"Y")&gt;=data!$AC$51,YEAR(TODAY())-L1696,data!$AD$3))</f>
        <v/>
      </c>
      <c r="P1696" s="413"/>
      <c r="Q1696" s="63"/>
      <c r="R1696" s="124" t="str">
        <f>IF(NOT(N1713=49),"",IF(OR(ISBLANK(E1693),ISBLANK(L1693),ISBLANK(K1694),ISBLANK(O1694)),"O","P"))</f>
        <v/>
      </c>
      <c r="S1696" s="108" t="str">
        <f>IF(NOT(N1713=49),"","Address")</f>
        <v/>
      </c>
      <c r="T1696" s="64"/>
    </row>
    <row r="1697" spans="1:20" ht="15" thickBot="1" x14ac:dyDescent="0.25">
      <c r="A1697" s="83"/>
      <c r="B1697" s="410" t="s">
        <v>214</v>
      </c>
      <c r="C1697" s="411"/>
      <c r="D1697" s="412" t="str">
        <f>IF(NOT($N1713=49),"",IF(ISERROR(LOOKUP(49,'Teacher Summary Sheet'!$M$19:$M$181)),"",IF(VLOOKUP(49,'Teacher Summary Sheet'!$M$19:$R$181,5)=0,"",VLOOKUP(49,'Teacher Summary Sheet'!$M$19:$R$181,5))))</f>
        <v/>
      </c>
      <c r="E1697" s="413"/>
      <c r="F1697" s="414" t="s">
        <v>319</v>
      </c>
      <c r="G1697" s="415"/>
      <c r="H1697" s="416"/>
      <c r="I1697" s="417"/>
      <c r="J1697" s="418"/>
      <c r="K1697" s="414" t="s">
        <v>320</v>
      </c>
      <c r="L1697" s="419"/>
      <c r="M1697" s="419"/>
      <c r="N1697" s="415"/>
      <c r="O1697" s="405" t="s">
        <v>268</v>
      </c>
      <c r="P1697" s="406"/>
      <c r="Q1697" s="63"/>
      <c r="R1697" s="124" t="str">
        <f>IF(NOT(N1713=49),"",IF(OR(ISBLANK(F1696),ISBLANK(I1696),ISBLANK(L1696)),"O","P"))</f>
        <v/>
      </c>
      <c r="S1697" s="108" t="str">
        <f>IF(NOT(N1713=49),"","Date of Birth")</f>
        <v/>
      </c>
      <c r="T1697" s="64"/>
    </row>
    <row r="1698" spans="1:20" ht="14.25" x14ac:dyDescent="0.2">
      <c r="A1698" s="83"/>
      <c r="B1698" s="522" t="s">
        <v>297</v>
      </c>
      <c r="C1698" s="463"/>
      <c r="D1698" s="463"/>
      <c r="E1698" s="463"/>
      <c r="F1698" s="463"/>
      <c r="G1698" s="463"/>
      <c r="H1698" s="463"/>
      <c r="I1698" s="463"/>
      <c r="J1698" s="463"/>
      <c r="K1698" s="463"/>
      <c r="L1698" s="463"/>
      <c r="M1698" s="463"/>
      <c r="N1698" s="463"/>
      <c r="O1698" s="463"/>
      <c r="P1698" s="464"/>
      <c r="Q1698" s="63"/>
      <c r="R1698" s="124" t="str">
        <f>IF(NOT(N1713=49),"",IF(COUNTBLANK(J1691:J1691)=1,"O","P"))</f>
        <v/>
      </c>
      <c r="S1698" s="112" t="str">
        <f>IF(NOT(N1713=49),"","Exam Level")</f>
        <v/>
      </c>
      <c r="T1698" s="64"/>
    </row>
    <row r="1699" spans="1:20" ht="14.25" x14ac:dyDescent="0.2">
      <c r="A1699" s="83"/>
      <c r="B1699" s="465"/>
      <c r="C1699" s="466"/>
      <c r="D1699" s="466"/>
      <c r="E1699" s="466"/>
      <c r="F1699" s="466"/>
      <c r="G1699" s="466"/>
      <c r="H1699" s="466"/>
      <c r="I1699" s="466"/>
      <c r="J1699" s="466"/>
      <c r="K1699" s="466"/>
      <c r="L1699" s="466"/>
      <c r="M1699" s="466"/>
      <c r="N1699" s="466"/>
      <c r="O1699" s="466"/>
      <c r="P1699" s="467"/>
      <c r="Q1699" s="63"/>
      <c r="R1699" s="124" t="str">
        <f>IF(NOT(N1713=49),"",IF(COUNTBLANK(D1697:D1697)=1,"O","P"))</f>
        <v/>
      </c>
      <c r="S1699" s="109" t="str">
        <f>IF(NOT(N1713=49),"","Gender")</f>
        <v/>
      </c>
      <c r="T1699" s="64"/>
    </row>
    <row r="1700" spans="1:20" ht="14.25" x14ac:dyDescent="0.2">
      <c r="A1700" s="83"/>
      <c r="B1700" s="432" t="s">
        <v>298</v>
      </c>
      <c r="C1700" s="433"/>
      <c r="D1700" s="434"/>
      <c r="E1700" s="405"/>
      <c r="F1700" s="406"/>
      <c r="G1700" s="432" t="s">
        <v>299</v>
      </c>
      <c r="H1700" s="433"/>
      <c r="I1700" s="434"/>
      <c r="J1700" s="405"/>
      <c r="K1700" s="448"/>
      <c r="L1700" s="406"/>
      <c r="M1700" s="414" t="s">
        <v>300</v>
      </c>
      <c r="N1700" s="415"/>
      <c r="O1700" s="457"/>
      <c r="P1700" s="458"/>
      <c r="Q1700" s="63"/>
      <c r="R1700" s="124" t="str">
        <f>IF(NOT(N1713=49),"",IF(ISBLANK(H1697),"O","P"))</f>
        <v/>
      </c>
      <c r="S1700" s="109" t="str">
        <f>IF(NOT(N1713=49),"","Height")</f>
        <v/>
      </c>
      <c r="T1700" s="64"/>
    </row>
    <row r="1701" spans="1:20" x14ac:dyDescent="0.2">
      <c r="A1701" s="83"/>
      <c r="B1701" s="77" t="s">
        <v>153</v>
      </c>
      <c r="C1701" s="405"/>
      <c r="D1701" s="406"/>
      <c r="E1701" s="414" t="s">
        <v>301</v>
      </c>
      <c r="F1701" s="415"/>
      <c r="G1701" s="459"/>
      <c r="H1701" s="460"/>
      <c r="I1701" s="461"/>
      <c r="J1701" s="414" t="s">
        <v>302</v>
      </c>
      <c r="K1701" s="415"/>
      <c r="L1701" s="454"/>
      <c r="M1701" s="455"/>
      <c r="N1701" s="455"/>
      <c r="O1701" s="455"/>
      <c r="P1701" s="456"/>
      <c r="Q1701" s="63"/>
      <c r="R1701" s="64"/>
      <c r="S1701" s="64"/>
      <c r="T1701" s="64"/>
    </row>
    <row r="1702" spans="1:20" x14ac:dyDescent="0.2">
      <c r="A1702" s="83"/>
      <c r="B1702" s="410" t="s">
        <v>116</v>
      </c>
      <c r="C1702" s="420"/>
      <c r="D1702" s="420"/>
      <c r="E1702" s="420"/>
      <c r="F1702" s="420"/>
      <c r="G1702" s="420"/>
      <c r="H1702" s="420"/>
      <c r="I1702" s="420"/>
      <c r="J1702" s="420"/>
      <c r="K1702" s="420"/>
      <c r="L1702" s="420"/>
      <c r="M1702" s="420"/>
      <c r="N1702" s="420"/>
      <c r="O1702" s="420"/>
      <c r="P1702" s="411"/>
      <c r="Q1702" s="63"/>
      <c r="R1702" s="64"/>
      <c r="S1702" s="64"/>
      <c r="T1702" s="64"/>
    </row>
    <row r="1703" spans="1:20" x14ac:dyDescent="0.2">
      <c r="A1703" s="83"/>
      <c r="B1703" s="410" t="s">
        <v>298</v>
      </c>
      <c r="C1703" s="420"/>
      <c r="D1703" s="411"/>
      <c r="E1703" s="405"/>
      <c r="F1703" s="406"/>
      <c r="G1703" s="410" t="s">
        <v>299</v>
      </c>
      <c r="H1703" s="420"/>
      <c r="I1703" s="411"/>
      <c r="J1703" s="454"/>
      <c r="K1703" s="455"/>
      <c r="L1703" s="456"/>
      <c r="M1703" s="414" t="s">
        <v>300</v>
      </c>
      <c r="N1703" s="415"/>
      <c r="O1703" s="457"/>
      <c r="P1703" s="458"/>
      <c r="Q1703" s="63"/>
      <c r="R1703" s="64"/>
    </row>
    <row r="1704" spans="1:20" ht="13.5" thickBot="1" x14ac:dyDescent="0.25">
      <c r="A1704" s="83"/>
      <c r="B1704" s="78" t="s">
        <v>153</v>
      </c>
      <c r="C1704" s="492"/>
      <c r="D1704" s="493"/>
      <c r="E1704" s="494" t="s">
        <v>301</v>
      </c>
      <c r="F1704" s="495"/>
      <c r="G1704" s="496"/>
      <c r="H1704" s="497"/>
      <c r="I1704" s="498"/>
      <c r="J1704" s="414" t="s">
        <v>302</v>
      </c>
      <c r="K1704" s="415"/>
      <c r="L1704" s="454"/>
      <c r="M1704" s="455"/>
      <c r="N1704" s="455"/>
      <c r="O1704" s="455"/>
      <c r="P1704" s="456"/>
      <c r="Q1704" s="63"/>
      <c r="R1704" s="64"/>
    </row>
    <row r="1705" spans="1:20" x14ac:dyDescent="0.2">
      <c r="A1705" s="83"/>
      <c r="B1705" s="499" t="s">
        <v>126</v>
      </c>
      <c r="C1705" s="500"/>
      <c r="D1705" s="500"/>
      <c r="E1705" s="500"/>
      <c r="F1705" s="500"/>
      <c r="G1705" s="500"/>
      <c r="H1705" s="500"/>
      <c r="I1705" s="501"/>
      <c r="J1705" s="505"/>
      <c r="K1705" s="506"/>
      <c r="L1705" s="506"/>
      <c r="M1705" s="506"/>
      <c r="N1705" s="506"/>
      <c r="O1705" s="506"/>
      <c r="P1705" s="507"/>
      <c r="Q1705" s="63"/>
      <c r="R1705" s="64"/>
    </row>
    <row r="1706" spans="1:20" x14ac:dyDescent="0.2">
      <c r="A1706" s="83"/>
      <c r="B1706" s="502"/>
      <c r="C1706" s="503"/>
      <c r="D1706" s="503"/>
      <c r="E1706" s="503"/>
      <c r="F1706" s="503"/>
      <c r="G1706" s="503"/>
      <c r="H1706" s="503"/>
      <c r="I1706" s="504"/>
      <c r="J1706" s="508"/>
      <c r="K1706" s="509"/>
      <c r="L1706" s="509"/>
      <c r="M1706" s="509"/>
      <c r="N1706" s="509"/>
      <c r="O1706" s="509"/>
      <c r="P1706" s="510"/>
      <c r="Q1706" s="63"/>
      <c r="R1706" s="64"/>
    </row>
    <row r="1707" spans="1:20" x14ac:dyDescent="0.2">
      <c r="A1707" s="83"/>
      <c r="B1707" s="514" t="s">
        <v>127</v>
      </c>
      <c r="C1707" s="515"/>
      <c r="D1707" s="515"/>
      <c r="E1707" s="515"/>
      <c r="F1707" s="515"/>
      <c r="G1707" s="515"/>
      <c r="H1707" s="515"/>
      <c r="I1707" s="516"/>
      <c r="J1707" s="508"/>
      <c r="K1707" s="509"/>
      <c r="L1707" s="509"/>
      <c r="M1707" s="509"/>
      <c r="N1707" s="509"/>
      <c r="O1707" s="509"/>
      <c r="P1707" s="510"/>
      <c r="Q1707" s="63"/>
      <c r="R1707" s="64"/>
    </row>
    <row r="1708" spans="1:20" ht="13.5" thickBot="1" x14ac:dyDescent="0.25">
      <c r="A1708" s="83"/>
      <c r="B1708" s="517"/>
      <c r="C1708" s="518"/>
      <c r="D1708" s="518"/>
      <c r="E1708" s="518"/>
      <c r="F1708" s="518"/>
      <c r="G1708" s="518"/>
      <c r="H1708" s="518"/>
      <c r="I1708" s="519"/>
      <c r="J1708" s="511"/>
      <c r="K1708" s="512"/>
      <c r="L1708" s="512"/>
      <c r="M1708" s="512"/>
      <c r="N1708" s="512"/>
      <c r="O1708" s="512"/>
      <c r="P1708" s="513"/>
      <c r="Q1708" s="63"/>
      <c r="R1708" s="64"/>
    </row>
    <row r="1709" spans="1:20" x14ac:dyDescent="0.2">
      <c r="A1709" s="83"/>
      <c r="B1709" s="480" t="s">
        <v>10</v>
      </c>
      <c r="C1709" s="481"/>
      <c r="D1709" s="481"/>
      <c r="E1709" s="481"/>
      <c r="F1709" s="481"/>
      <c r="G1709" s="481"/>
      <c r="H1709" s="481"/>
      <c r="I1709" s="482"/>
      <c r="J1709" s="79">
        <v>1</v>
      </c>
      <c r="K1709" s="483"/>
      <c r="L1709" s="484"/>
      <c r="M1709" s="484"/>
      <c r="N1709" s="484"/>
      <c r="O1709" s="484"/>
      <c r="P1709" s="485"/>
      <c r="Q1709" s="63"/>
      <c r="R1709" s="64"/>
    </row>
    <row r="1710" spans="1:20" x14ac:dyDescent="0.2">
      <c r="A1710" s="83"/>
      <c r="B1710" s="486" t="s">
        <v>276</v>
      </c>
      <c r="C1710" s="487"/>
      <c r="D1710" s="487"/>
      <c r="E1710" s="487"/>
      <c r="F1710" s="487"/>
      <c r="G1710" s="487"/>
      <c r="H1710" s="487"/>
      <c r="I1710" s="488"/>
      <c r="J1710" s="80">
        <v>2</v>
      </c>
      <c r="K1710" s="454"/>
      <c r="L1710" s="455"/>
      <c r="M1710" s="455"/>
      <c r="N1710" s="455"/>
      <c r="O1710" s="455"/>
      <c r="P1710" s="456"/>
      <c r="Q1710" s="63"/>
      <c r="R1710" s="64"/>
    </row>
    <row r="1711" spans="1:20" x14ac:dyDescent="0.2">
      <c r="A1711" s="83"/>
      <c r="B1711" s="489" t="s">
        <v>234</v>
      </c>
      <c r="C1711" s="490"/>
      <c r="D1711" s="490"/>
      <c r="E1711" s="490"/>
      <c r="F1711" s="490"/>
      <c r="G1711" s="490"/>
      <c r="H1711" s="490"/>
      <c r="I1711" s="491"/>
      <c r="J1711" s="80">
        <v>3</v>
      </c>
      <c r="K1711" s="454"/>
      <c r="L1711" s="455"/>
      <c r="M1711" s="455"/>
      <c r="N1711" s="455"/>
      <c r="O1711" s="455"/>
      <c r="P1711" s="456"/>
      <c r="Q1711" s="63"/>
      <c r="R1711" s="64"/>
    </row>
    <row r="1712" spans="1:20" x14ac:dyDescent="0.2">
      <c r="A1712" s="83"/>
      <c r="B1712" s="468"/>
      <c r="C1712" s="468"/>
      <c r="D1712" s="468"/>
      <c r="E1712" s="468"/>
      <c r="F1712" s="468"/>
      <c r="G1712" s="468"/>
      <c r="H1712" s="468"/>
      <c r="I1712" s="468"/>
      <c r="J1712" s="468"/>
      <c r="K1712" s="468"/>
      <c r="L1712" s="468"/>
      <c r="M1712" s="468"/>
      <c r="N1712" s="468"/>
      <c r="O1712" s="468"/>
      <c r="P1712" s="468"/>
      <c r="Q1712" s="63"/>
      <c r="R1712" s="64"/>
    </row>
    <row r="1713" spans="1:20" ht="12" customHeight="1" x14ac:dyDescent="0.2">
      <c r="A1713" s="83"/>
      <c r="B1713" s="469" t="s">
        <v>84</v>
      </c>
      <c r="C1713" s="471" t="str">
        <f>IF(CODE(B1713)=89,"This candidate would like to receive Special","This candidate would not like to receive Special")</f>
        <v>This candidate would like to receive Special</v>
      </c>
      <c r="D1713" s="472"/>
      <c r="E1713" s="472"/>
      <c r="F1713" s="472"/>
      <c r="G1713" s="472"/>
      <c r="H1713" s="472"/>
      <c r="I1713" s="473"/>
      <c r="J1713" s="81"/>
      <c r="K1713" s="474" t="s">
        <v>235</v>
      </c>
      <c r="L1713" s="474"/>
      <c r="M1713" s="475"/>
      <c r="N1713" s="51" t="str">
        <f>IF($P$33&gt;=49,49,"")</f>
        <v/>
      </c>
      <c r="O1713" s="62" t="s">
        <v>52</v>
      </c>
      <c r="P1713" s="51" t="str">
        <f>IF($P$33&gt;=49,$P$33,"")</f>
        <v/>
      </c>
      <c r="Q1713" s="63"/>
      <c r="R1713" s="64"/>
    </row>
    <row r="1714" spans="1:20" ht="12" customHeight="1" x14ac:dyDescent="0.2">
      <c r="A1714" s="83"/>
      <c r="B1714" s="470"/>
      <c r="C1714" s="476" t="str">
        <f>IF(CODE(B1713)=89,"Announcements and Bulletins from RAD Canada","Announcements and Bulletins from RAD Canada")</f>
        <v>Announcements and Bulletins from RAD Canada</v>
      </c>
      <c r="D1714" s="477"/>
      <c r="E1714" s="477"/>
      <c r="F1714" s="477"/>
      <c r="G1714" s="477"/>
      <c r="H1714" s="477"/>
      <c r="I1714" s="478"/>
      <c r="J1714" s="479"/>
      <c r="K1714" s="400"/>
      <c r="L1714" s="400"/>
      <c r="M1714" s="400"/>
      <c r="N1714" s="400"/>
      <c r="O1714" s="400"/>
      <c r="P1714" s="400"/>
      <c r="Q1714" s="63"/>
      <c r="R1714" s="64"/>
    </row>
    <row r="1715" spans="1:20" x14ac:dyDescent="0.2">
      <c r="A1715" s="83"/>
      <c r="B1715" s="81"/>
      <c r="C1715" s="81"/>
      <c r="D1715" s="81"/>
      <c r="E1715" s="81"/>
      <c r="F1715" s="81"/>
      <c r="G1715" s="81"/>
      <c r="H1715" s="81"/>
      <c r="I1715" s="81"/>
      <c r="J1715" s="81"/>
      <c r="K1715" s="81"/>
      <c r="L1715" s="81"/>
      <c r="M1715" s="81"/>
      <c r="N1715" s="81"/>
      <c r="O1715" s="81"/>
      <c r="P1715" s="81"/>
      <c r="Q1715" s="63"/>
      <c r="R1715" s="64"/>
    </row>
    <row r="1716" spans="1:20" x14ac:dyDescent="0.2">
      <c r="A1716" s="83"/>
      <c r="B1716" s="62"/>
      <c r="C1716" s="62"/>
      <c r="D1716" s="62"/>
      <c r="E1716" s="62"/>
      <c r="F1716" s="62"/>
      <c r="G1716" s="62"/>
      <c r="H1716" s="62"/>
      <c r="I1716" s="62"/>
      <c r="J1716" s="62"/>
      <c r="K1716" s="62"/>
      <c r="L1716" s="62"/>
      <c r="M1716" s="62"/>
      <c r="N1716" s="62"/>
      <c r="O1716" s="62"/>
      <c r="P1716" s="62"/>
      <c r="Q1716" s="63"/>
      <c r="R1716" s="64"/>
    </row>
    <row r="1717" spans="1:20" x14ac:dyDescent="0.2">
      <c r="A1717" s="83"/>
      <c r="B1717" s="401" t="s">
        <v>281</v>
      </c>
      <c r="C1717" s="402"/>
      <c r="D1717" s="402"/>
      <c r="E1717" s="402"/>
      <c r="F1717" s="402"/>
      <c r="G1717" s="402"/>
      <c r="H1717" s="62"/>
      <c r="I1717" s="62"/>
      <c r="J1717" s="62"/>
      <c r="K1717" s="62"/>
      <c r="L1717" s="62"/>
      <c r="M1717" s="62"/>
      <c r="N1717" s="62"/>
      <c r="O1717" s="62"/>
      <c r="P1717" s="62"/>
      <c r="Q1717" s="63"/>
      <c r="R1717" s="64"/>
    </row>
    <row r="1718" spans="1:20" ht="15.75" x14ac:dyDescent="0.25">
      <c r="A1718" s="83"/>
      <c r="B1718" s="402"/>
      <c r="C1718" s="402"/>
      <c r="D1718" s="402"/>
      <c r="E1718" s="402"/>
      <c r="F1718" s="402"/>
      <c r="G1718" s="402"/>
      <c r="H1718" s="82"/>
      <c r="I1718" s="403"/>
      <c r="J1718" s="403"/>
      <c r="K1718" s="403"/>
      <c r="L1718" s="403"/>
      <c r="M1718" s="403"/>
      <c r="N1718" s="403"/>
      <c r="O1718" s="403"/>
      <c r="P1718" s="403"/>
      <c r="Q1718" s="63"/>
      <c r="R1718" s="64"/>
    </row>
    <row r="1719" spans="1:20" x14ac:dyDescent="0.2">
      <c r="A1719" s="83"/>
      <c r="B1719" s="400"/>
      <c r="C1719" s="400"/>
      <c r="D1719" s="400"/>
      <c r="E1719" s="400"/>
      <c r="F1719" s="400"/>
      <c r="G1719" s="400"/>
      <c r="H1719" s="400"/>
      <c r="I1719" s="400"/>
      <c r="J1719" s="400"/>
      <c r="K1719" s="400"/>
      <c r="L1719" s="400"/>
      <c r="M1719" s="403"/>
      <c r="N1719" s="403"/>
      <c r="O1719" s="403"/>
      <c r="P1719" s="403"/>
      <c r="Q1719" s="63"/>
      <c r="R1719" s="64"/>
    </row>
    <row r="1720" spans="1:20" x14ac:dyDescent="0.2">
      <c r="A1720" s="83"/>
      <c r="B1720" s="404" t="s">
        <v>260</v>
      </c>
      <c r="C1720" s="404"/>
      <c r="D1720" s="404"/>
      <c r="E1720" s="404"/>
      <c r="F1720" s="400"/>
      <c r="G1720" s="400"/>
      <c r="H1720" s="400"/>
      <c r="I1720" s="400"/>
      <c r="J1720" s="400"/>
      <c r="K1720" s="400"/>
      <c r="L1720" s="400"/>
      <c r="M1720" s="403"/>
      <c r="N1720" s="403"/>
      <c r="O1720" s="403"/>
      <c r="P1720" s="403"/>
      <c r="Q1720" s="63"/>
      <c r="R1720" s="64"/>
    </row>
    <row r="1721" spans="1:20" x14ac:dyDescent="0.2">
      <c r="A1721" s="83"/>
      <c r="B1721" s="69"/>
      <c r="C1721" s="324" t="s">
        <v>75</v>
      </c>
      <c r="D1721" s="408"/>
      <c r="E1721" s="409"/>
      <c r="F1721" s="400"/>
      <c r="G1721" s="400"/>
      <c r="H1721" s="400"/>
      <c r="I1721" s="400"/>
      <c r="J1721" s="400"/>
      <c r="K1721" s="400"/>
      <c r="L1721" s="400"/>
      <c r="M1721" s="70"/>
      <c r="N1721" s="70"/>
      <c r="O1721" s="70"/>
      <c r="P1721" s="70"/>
      <c r="Q1721" s="63"/>
      <c r="R1721" s="64"/>
    </row>
    <row r="1722" spans="1:20" x14ac:dyDescent="0.2">
      <c r="A1722" s="83"/>
      <c r="B1722" s="71"/>
      <c r="C1722" s="324" t="s">
        <v>128</v>
      </c>
      <c r="D1722" s="408"/>
      <c r="E1722" s="409"/>
      <c r="F1722" s="400"/>
      <c r="G1722" s="400"/>
      <c r="H1722" s="400"/>
      <c r="I1722" s="400"/>
      <c r="J1722" s="400"/>
      <c r="K1722" s="400"/>
      <c r="L1722" s="400"/>
      <c r="M1722" s="407" t="s">
        <v>256</v>
      </c>
      <c r="N1722" s="407"/>
      <c r="O1722" s="407"/>
      <c r="P1722" s="407"/>
      <c r="Q1722" s="63"/>
      <c r="R1722" s="64"/>
    </row>
    <row r="1723" spans="1:20" x14ac:dyDescent="0.2">
      <c r="A1723" s="83"/>
      <c r="B1723" s="56"/>
      <c r="C1723" s="324" t="s">
        <v>282</v>
      </c>
      <c r="D1723" s="408"/>
      <c r="E1723" s="409"/>
      <c r="F1723" s="400"/>
      <c r="G1723" s="400"/>
      <c r="H1723" s="400"/>
      <c r="I1723" s="400"/>
      <c r="J1723" s="400"/>
      <c r="K1723" s="400"/>
      <c r="L1723" s="400"/>
      <c r="M1723" s="407"/>
      <c r="N1723" s="407"/>
      <c r="O1723" s="407"/>
      <c r="P1723" s="407"/>
      <c r="Q1723" s="63"/>
      <c r="R1723" s="64"/>
    </row>
    <row r="1724" spans="1:20" x14ac:dyDescent="0.2">
      <c r="A1724" s="83"/>
      <c r="B1724" s="520"/>
      <c r="C1724" s="520"/>
      <c r="D1724" s="520"/>
      <c r="E1724" s="520"/>
      <c r="F1724" s="520"/>
      <c r="G1724" s="520"/>
      <c r="H1724" s="520"/>
      <c r="I1724" s="520"/>
      <c r="J1724" s="520"/>
      <c r="K1724" s="520"/>
      <c r="L1724" s="520"/>
      <c r="M1724" s="520"/>
      <c r="N1724" s="520"/>
      <c r="O1724" s="520"/>
      <c r="P1724" s="520"/>
      <c r="Q1724" s="63"/>
      <c r="R1724" s="64"/>
    </row>
    <row r="1725" spans="1:20" x14ac:dyDescent="0.2">
      <c r="A1725" s="83"/>
      <c r="B1725" s="432" t="s">
        <v>117</v>
      </c>
      <c r="C1725" s="433"/>
      <c r="D1725" s="434"/>
      <c r="E1725" s="442" t="str">
        <f>IF(AND($P$33&gt;=50,NOT(ISBLANK($E$10))),$E$10,"")</f>
        <v/>
      </c>
      <c r="F1725" s="443"/>
      <c r="G1725" s="444"/>
      <c r="H1725" s="414" t="s">
        <v>124</v>
      </c>
      <c r="I1725" s="415"/>
      <c r="J1725" s="442" t="str">
        <f>IF(AND($P$33&gt;=50,NOT(ISBLANK($J$10))),$J$10,"")</f>
        <v/>
      </c>
      <c r="K1725" s="443"/>
      <c r="L1725" s="444"/>
      <c r="M1725" s="414" t="s">
        <v>118</v>
      </c>
      <c r="N1725" s="415"/>
      <c r="O1725" s="430" t="str">
        <f>IF(AND($P$33&gt;=50,NOT(ISBLANK($O$10))),$O$10,"")</f>
        <v/>
      </c>
      <c r="P1725" s="521"/>
      <c r="Q1725" s="63"/>
      <c r="R1725" s="545" t="s">
        <v>307</v>
      </c>
      <c r="S1725" s="546"/>
      <c r="T1725" s="547"/>
    </row>
    <row r="1726" spans="1:20" x14ac:dyDescent="0.2">
      <c r="A1726" s="83"/>
      <c r="B1726" s="432" t="s">
        <v>240</v>
      </c>
      <c r="C1726" s="433"/>
      <c r="D1726" s="434"/>
      <c r="E1726" s="435" t="str">
        <f>IF(NOT($N1748=50),"",IF(ISERROR(LOOKUP(50,'Teacher Summary Sheet'!$M$19:$M$181)),"",IF(VLOOKUP(50,'Teacher Summary Sheet'!$M$19:$R$181,2)=0,"",VLOOKUP(50,'Teacher Summary Sheet'!$M$19:$R$181,2))))</f>
        <v/>
      </c>
      <c r="F1726" s="436"/>
      <c r="G1726" s="437"/>
      <c r="H1726" s="438" t="s">
        <v>119</v>
      </c>
      <c r="I1726" s="439"/>
      <c r="J1726" s="102" t="str">
        <f>IF(NOT($N1748=50),"",IF(ISERROR(LOOKUP(50,'Teacher Summary Sheet'!$M$19:$M$181)),"",IF(VLOOKUP(50,'Teacher Summary Sheet'!$M$19:$R$181,6)=0,"",VLOOKUP(50,'Teacher Summary Sheet'!$M$19:$R$181,6))))</f>
        <v/>
      </c>
      <c r="K1726" s="414" t="s">
        <v>179</v>
      </c>
      <c r="L1726" s="419"/>
      <c r="M1726" s="415"/>
      <c r="N1726" s="412" t="str">
        <f>IF(NOT($N1748=50),"",IF(ISERROR(LOOKUP(50,'Teacher Summary Sheet'!$M$19:$M$181)),"",IF('Teacher Summary Sheet'!$F$31=0,"",'Teacher Summary Sheet'!$F$31)))</f>
        <v/>
      </c>
      <c r="O1726" s="440"/>
      <c r="P1726" s="413"/>
      <c r="Q1726" s="63"/>
      <c r="R1726" s="548"/>
      <c r="S1726" s="549"/>
      <c r="T1726" s="550"/>
    </row>
    <row r="1727" spans="1:20" ht="14.25" x14ac:dyDescent="0.2">
      <c r="A1727" s="83"/>
      <c r="B1727" s="410" t="s">
        <v>241</v>
      </c>
      <c r="C1727" s="420"/>
      <c r="D1727" s="411"/>
      <c r="E1727" s="421" t="str">
        <f>IF(NOT($N1748=50),"",IF(ISERROR(LOOKUP(50,'Teacher Summary Sheet'!$M$19:$M$181)),"",IF(VLOOKUP(50,'Teacher Summary Sheet'!$M$19:$R$181,3)=0,"",VLOOKUP(50,'Teacher Summary Sheet'!$M$19:$R$181,3))))</f>
        <v/>
      </c>
      <c r="F1727" s="422"/>
      <c r="G1727" s="422"/>
      <c r="H1727" s="422"/>
      <c r="I1727" s="423"/>
      <c r="J1727" s="414" t="s">
        <v>124</v>
      </c>
      <c r="K1727" s="415"/>
      <c r="L1727" s="424" t="str">
        <f>IF(NOT($N1748=50),"",IF(ISERROR(LOOKUP(50,'Teacher Summary Sheet'!$M$19:$M$181)),"",IF(VLOOKUP(50,'Teacher Summary Sheet'!$M$19:$R$181,4)=0,"",VLOOKUP(50,'Teacher Summary Sheet'!$M$19:$R$181,4))))</f>
        <v/>
      </c>
      <c r="M1727" s="425"/>
      <c r="N1727" s="425"/>
      <c r="O1727" s="425"/>
      <c r="P1727" s="426"/>
      <c r="Q1727" s="63"/>
      <c r="R1727" s="125" t="str">
        <f>IF(NOT(N1748=50),"",IF(COUNTIF(R1729:R1735,"P")=7,"P","O"))</f>
        <v/>
      </c>
      <c r="S1727" s="110" t="str">
        <f>IF(NOT(N1748=50),"",IF(COUNTIF(R1729:R1735,"P")=7,"Complete","Incomplete"))</f>
        <v/>
      </c>
      <c r="T1727" s="111"/>
    </row>
    <row r="1728" spans="1:20" x14ac:dyDescent="0.2">
      <c r="A1728" s="83"/>
      <c r="B1728" s="410" t="s">
        <v>120</v>
      </c>
      <c r="C1728" s="420"/>
      <c r="D1728" s="411"/>
      <c r="E1728" s="427"/>
      <c r="F1728" s="428"/>
      <c r="G1728" s="428"/>
      <c r="H1728" s="428"/>
      <c r="I1728" s="428"/>
      <c r="J1728" s="429"/>
      <c r="K1728" s="62" t="s">
        <v>121</v>
      </c>
      <c r="L1728" s="427"/>
      <c r="M1728" s="428"/>
      <c r="N1728" s="428"/>
      <c r="O1728" s="428"/>
      <c r="P1728" s="429"/>
      <c r="Q1728" s="63"/>
    </row>
    <row r="1729" spans="1:20" ht="14.25" x14ac:dyDescent="0.2">
      <c r="A1729" s="83"/>
      <c r="B1729" s="410" t="s">
        <v>196</v>
      </c>
      <c r="C1729" s="420"/>
      <c r="D1729" s="411"/>
      <c r="E1729" s="427"/>
      <c r="F1729" s="428"/>
      <c r="G1729" s="428"/>
      <c r="H1729" s="428"/>
      <c r="I1729" s="429"/>
      <c r="J1729" s="73" t="s">
        <v>197</v>
      </c>
      <c r="K1729" s="405"/>
      <c r="L1729" s="406"/>
      <c r="M1729" s="414" t="s">
        <v>212</v>
      </c>
      <c r="N1729" s="415"/>
      <c r="O1729" s="405"/>
      <c r="P1729" s="406"/>
      <c r="Q1729" s="63"/>
      <c r="R1729" s="124" t="str">
        <f>IF(NOT(N1748=50),"",IF(OR(COUNTBLANK(E1727:E1727)=1,COUNTBLANK(L1727:L1727)=1),"O","P"))</f>
        <v/>
      </c>
      <c r="S1729" s="108" t="str">
        <f>IF(NOT(N1748=50),"","Candidate Name")</f>
        <v/>
      </c>
      <c r="T1729" s="64"/>
    </row>
    <row r="1730" spans="1:20" ht="14.25" x14ac:dyDescent="0.2">
      <c r="A1730" s="83"/>
      <c r="B1730" s="410" t="s">
        <v>198</v>
      </c>
      <c r="C1730" s="420"/>
      <c r="D1730" s="411"/>
      <c r="E1730" s="454"/>
      <c r="F1730" s="455"/>
      <c r="G1730" s="455"/>
      <c r="H1730" s="456"/>
      <c r="I1730" s="74" t="s">
        <v>199</v>
      </c>
      <c r="J1730" s="427"/>
      <c r="K1730" s="428"/>
      <c r="L1730" s="428"/>
      <c r="M1730" s="428"/>
      <c r="N1730" s="428"/>
      <c r="O1730" s="428"/>
      <c r="P1730" s="429"/>
      <c r="Q1730" s="63"/>
      <c r="R1730" s="124" t="str">
        <f>IF(NOT(N1748=50),"",IF(COUNTBLANK(E1726:E1726)=1,"O","P"))</f>
        <v/>
      </c>
      <c r="S1730" s="108" t="str">
        <f>IF(NOT(N1748=50),"","Candidate ID")</f>
        <v/>
      </c>
      <c r="T1730" s="64"/>
    </row>
    <row r="1731" spans="1:20" ht="14.25" x14ac:dyDescent="0.2">
      <c r="A1731" s="83"/>
      <c r="B1731" s="410" t="s">
        <v>227</v>
      </c>
      <c r="C1731" s="420"/>
      <c r="D1731" s="411"/>
      <c r="E1731" s="75" t="s">
        <v>218</v>
      </c>
      <c r="F1731" s="405"/>
      <c r="G1731" s="448"/>
      <c r="H1731" s="75" t="s">
        <v>138</v>
      </c>
      <c r="I1731" s="449"/>
      <c r="J1731" s="450"/>
      <c r="K1731" s="76" t="s">
        <v>139</v>
      </c>
      <c r="L1731" s="451"/>
      <c r="M1731" s="452"/>
      <c r="N1731" s="76" t="s">
        <v>228</v>
      </c>
      <c r="O1731" s="453" t="str">
        <f ca="1">IF(OR(ISBLANK(L1731),ISBLANK(I1731),ISBLANK(F1731),COUNTBLANK(J1726:J1726)=1),"",IF(DATEDIF(DATE(L1731,VLOOKUP(I1731,data!$T$2:$U$13,2,FALSE),F1731),IF(AND(TODAY()&lt;data!$AJ$12,TODAY()&gt;data!$AI$12),data!$AI$3,data!$AJ$3),"Y")&gt;=data!$AC$52,YEAR(TODAY())-L1731,data!$AD$3))</f>
        <v/>
      </c>
      <c r="P1731" s="413"/>
      <c r="Q1731" s="63"/>
      <c r="R1731" s="124" t="str">
        <f>IF(NOT(N1748=50),"",IF(OR(ISBLANK(E1728),ISBLANK(L1728),ISBLANK(K1729),ISBLANK(O1729)),"O","P"))</f>
        <v/>
      </c>
      <c r="S1731" s="108" t="str">
        <f>IF(NOT(N1748=50),"","Address")</f>
        <v/>
      </c>
      <c r="T1731" s="64"/>
    </row>
    <row r="1732" spans="1:20" ht="15" thickBot="1" x14ac:dyDescent="0.25">
      <c r="A1732" s="83"/>
      <c r="B1732" s="410" t="s">
        <v>214</v>
      </c>
      <c r="C1732" s="411"/>
      <c r="D1732" s="412" t="str">
        <f>IF(NOT($N1748=50),"",IF(ISERROR(LOOKUP(50,'Teacher Summary Sheet'!$M$19:$M$181)),"",IF(VLOOKUP(50,'Teacher Summary Sheet'!$M$19:$R$181,5)=0,"",VLOOKUP(50,'Teacher Summary Sheet'!$M$19:$R$181,5))))</f>
        <v/>
      </c>
      <c r="E1732" s="413"/>
      <c r="F1732" s="414" t="s">
        <v>319</v>
      </c>
      <c r="G1732" s="415"/>
      <c r="H1732" s="416"/>
      <c r="I1732" s="417"/>
      <c r="J1732" s="418"/>
      <c r="K1732" s="414" t="s">
        <v>320</v>
      </c>
      <c r="L1732" s="419"/>
      <c r="M1732" s="419"/>
      <c r="N1732" s="415"/>
      <c r="O1732" s="405" t="s">
        <v>268</v>
      </c>
      <c r="P1732" s="406"/>
      <c r="Q1732" s="63"/>
      <c r="R1732" s="124" t="str">
        <f>IF(NOT(N1748=50),"",IF(OR(ISBLANK(F1731),ISBLANK(I1731),ISBLANK(L1731)),"O","P"))</f>
        <v/>
      </c>
      <c r="S1732" s="108" t="str">
        <f>IF(NOT(N1748=50),"","Date of Birth")</f>
        <v/>
      </c>
      <c r="T1732" s="64"/>
    </row>
    <row r="1733" spans="1:20" ht="14.25" x14ac:dyDescent="0.2">
      <c r="A1733" s="83"/>
      <c r="B1733" s="522" t="s">
        <v>297</v>
      </c>
      <c r="C1733" s="463"/>
      <c r="D1733" s="463"/>
      <c r="E1733" s="463"/>
      <c r="F1733" s="463"/>
      <c r="G1733" s="463"/>
      <c r="H1733" s="463"/>
      <c r="I1733" s="463"/>
      <c r="J1733" s="463"/>
      <c r="K1733" s="463"/>
      <c r="L1733" s="463"/>
      <c r="M1733" s="463"/>
      <c r="N1733" s="463"/>
      <c r="O1733" s="463"/>
      <c r="P1733" s="464"/>
      <c r="Q1733" s="63"/>
      <c r="R1733" s="124" t="str">
        <f>IF(NOT(N1748=50),"",IF(COUNTBLANK(J1726:J1726)=1,"O","P"))</f>
        <v/>
      </c>
      <c r="S1733" s="112" t="str">
        <f>IF(NOT(N1748=50),"","Exam Level")</f>
        <v/>
      </c>
      <c r="T1733" s="64"/>
    </row>
    <row r="1734" spans="1:20" ht="14.25" x14ac:dyDescent="0.2">
      <c r="A1734" s="83"/>
      <c r="B1734" s="465"/>
      <c r="C1734" s="466"/>
      <c r="D1734" s="466"/>
      <c r="E1734" s="466"/>
      <c r="F1734" s="466"/>
      <c r="G1734" s="466"/>
      <c r="H1734" s="466"/>
      <c r="I1734" s="466"/>
      <c r="J1734" s="466"/>
      <c r="K1734" s="466"/>
      <c r="L1734" s="466"/>
      <c r="M1734" s="466"/>
      <c r="N1734" s="466"/>
      <c r="O1734" s="466"/>
      <c r="P1734" s="467"/>
      <c r="Q1734" s="63"/>
      <c r="R1734" s="124" t="str">
        <f>IF(NOT(N1748=50),"",IF(COUNTBLANK(D1732:D1732)=1,"O","P"))</f>
        <v/>
      </c>
      <c r="S1734" s="109" t="str">
        <f>IF(NOT(N1748=50),"","Gender")</f>
        <v/>
      </c>
      <c r="T1734" s="64"/>
    </row>
    <row r="1735" spans="1:20" ht="14.25" x14ac:dyDescent="0.2">
      <c r="A1735" s="83"/>
      <c r="B1735" s="432" t="s">
        <v>298</v>
      </c>
      <c r="C1735" s="433"/>
      <c r="D1735" s="434"/>
      <c r="E1735" s="405"/>
      <c r="F1735" s="406"/>
      <c r="G1735" s="432" t="s">
        <v>299</v>
      </c>
      <c r="H1735" s="433"/>
      <c r="I1735" s="434"/>
      <c r="J1735" s="405"/>
      <c r="K1735" s="448"/>
      <c r="L1735" s="406"/>
      <c r="M1735" s="414" t="s">
        <v>300</v>
      </c>
      <c r="N1735" s="415"/>
      <c r="O1735" s="457"/>
      <c r="P1735" s="458"/>
      <c r="Q1735" s="63"/>
      <c r="R1735" s="124" t="str">
        <f>IF(NOT(N1748=50),"",IF(ISBLANK(H1732),"O","P"))</f>
        <v/>
      </c>
      <c r="S1735" s="109" t="str">
        <f>IF(NOT(N1748=50),"","Height")</f>
        <v/>
      </c>
      <c r="T1735" s="64"/>
    </row>
    <row r="1736" spans="1:20" x14ac:dyDescent="0.2">
      <c r="A1736" s="83"/>
      <c r="B1736" s="77" t="s">
        <v>153</v>
      </c>
      <c r="C1736" s="405"/>
      <c r="D1736" s="406"/>
      <c r="E1736" s="414" t="s">
        <v>301</v>
      </c>
      <c r="F1736" s="415"/>
      <c r="G1736" s="459"/>
      <c r="H1736" s="460"/>
      <c r="I1736" s="461"/>
      <c r="J1736" s="414" t="s">
        <v>302</v>
      </c>
      <c r="K1736" s="415"/>
      <c r="L1736" s="454"/>
      <c r="M1736" s="455"/>
      <c r="N1736" s="455"/>
      <c r="O1736" s="455"/>
      <c r="P1736" s="456"/>
      <c r="Q1736" s="63"/>
      <c r="R1736" s="64"/>
      <c r="S1736" s="64"/>
      <c r="T1736" s="64"/>
    </row>
    <row r="1737" spans="1:20" x14ac:dyDescent="0.2">
      <c r="A1737" s="83"/>
      <c r="B1737" s="410" t="s">
        <v>116</v>
      </c>
      <c r="C1737" s="420"/>
      <c r="D1737" s="420"/>
      <c r="E1737" s="420"/>
      <c r="F1737" s="420"/>
      <c r="G1737" s="420"/>
      <c r="H1737" s="420"/>
      <c r="I1737" s="420"/>
      <c r="J1737" s="420"/>
      <c r="K1737" s="420"/>
      <c r="L1737" s="420"/>
      <c r="M1737" s="420"/>
      <c r="N1737" s="420"/>
      <c r="O1737" s="420"/>
      <c r="P1737" s="411"/>
      <c r="Q1737" s="63"/>
      <c r="R1737" s="64"/>
      <c r="S1737" s="64"/>
      <c r="T1737" s="64"/>
    </row>
    <row r="1738" spans="1:20" x14ac:dyDescent="0.2">
      <c r="A1738" s="83"/>
      <c r="B1738" s="410" t="s">
        <v>298</v>
      </c>
      <c r="C1738" s="420"/>
      <c r="D1738" s="411"/>
      <c r="E1738" s="405"/>
      <c r="F1738" s="406"/>
      <c r="G1738" s="410" t="s">
        <v>299</v>
      </c>
      <c r="H1738" s="420"/>
      <c r="I1738" s="411"/>
      <c r="J1738" s="454"/>
      <c r="K1738" s="455"/>
      <c r="L1738" s="456"/>
      <c r="M1738" s="414" t="s">
        <v>300</v>
      </c>
      <c r="N1738" s="415"/>
      <c r="O1738" s="457"/>
      <c r="P1738" s="458"/>
      <c r="Q1738" s="63"/>
      <c r="R1738" s="64"/>
    </row>
    <row r="1739" spans="1:20" ht="13.5" thickBot="1" x14ac:dyDescent="0.25">
      <c r="A1739" s="83"/>
      <c r="B1739" s="78" t="s">
        <v>153</v>
      </c>
      <c r="C1739" s="492"/>
      <c r="D1739" s="493"/>
      <c r="E1739" s="494" t="s">
        <v>301</v>
      </c>
      <c r="F1739" s="495"/>
      <c r="G1739" s="496"/>
      <c r="H1739" s="497"/>
      <c r="I1739" s="498"/>
      <c r="J1739" s="414" t="s">
        <v>302</v>
      </c>
      <c r="K1739" s="415"/>
      <c r="L1739" s="454"/>
      <c r="M1739" s="455"/>
      <c r="N1739" s="455"/>
      <c r="O1739" s="455"/>
      <c r="P1739" s="456"/>
      <c r="Q1739" s="63"/>
      <c r="R1739" s="64"/>
    </row>
    <row r="1740" spans="1:20" x14ac:dyDescent="0.2">
      <c r="A1740" s="83"/>
      <c r="B1740" s="499" t="s">
        <v>126</v>
      </c>
      <c r="C1740" s="500"/>
      <c r="D1740" s="500"/>
      <c r="E1740" s="500"/>
      <c r="F1740" s="500"/>
      <c r="G1740" s="500"/>
      <c r="H1740" s="500"/>
      <c r="I1740" s="501"/>
      <c r="J1740" s="505"/>
      <c r="K1740" s="506"/>
      <c r="L1740" s="506"/>
      <c r="M1740" s="506"/>
      <c r="N1740" s="506"/>
      <c r="O1740" s="506"/>
      <c r="P1740" s="507"/>
      <c r="Q1740" s="63"/>
      <c r="R1740" s="64"/>
    </row>
    <row r="1741" spans="1:20" x14ac:dyDescent="0.2">
      <c r="A1741" s="83"/>
      <c r="B1741" s="502"/>
      <c r="C1741" s="503"/>
      <c r="D1741" s="503"/>
      <c r="E1741" s="503"/>
      <c r="F1741" s="503"/>
      <c r="G1741" s="503"/>
      <c r="H1741" s="503"/>
      <c r="I1741" s="504"/>
      <c r="J1741" s="508"/>
      <c r="K1741" s="509"/>
      <c r="L1741" s="509"/>
      <c r="M1741" s="509"/>
      <c r="N1741" s="509"/>
      <c r="O1741" s="509"/>
      <c r="P1741" s="510"/>
      <c r="Q1741" s="63"/>
      <c r="R1741" s="64"/>
    </row>
    <row r="1742" spans="1:20" x14ac:dyDescent="0.2">
      <c r="A1742" s="83"/>
      <c r="B1742" s="514" t="s">
        <v>127</v>
      </c>
      <c r="C1742" s="515"/>
      <c r="D1742" s="515"/>
      <c r="E1742" s="515"/>
      <c r="F1742" s="515"/>
      <c r="G1742" s="515"/>
      <c r="H1742" s="515"/>
      <c r="I1742" s="516"/>
      <c r="J1742" s="508"/>
      <c r="K1742" s="509"/>
      <c r="L1742" s="509"/>
      <c r="M1742" s="509"/>
      <c r="N1742" s="509"/>
      <c r="O1742" s="509"/>
      <c r="P1742" s="510"/>
      <c r="Q1742" s="63"/>
      <c r="R1742" s="64"/>
    </row>
    <row r="1743" spans="1:20" ht="13.5" thickBot="1" x14ac:dyDescent="0.25">
      <c r="A1743" s="83"/>
      <c r="B1743" s="517"/>
      <c r="C1743" s="518"/>
      <c r="D1743" s="518"/>
      <c r="E1743" s="518"/>
      <c r="F1743" s="518"/>
      <c r="G1743" s="518"/>
      <c r="H1743" s="518"/>
      <c r="I1743" s="519"/>
      <c r="J1743" s="511"/>
      <c r="K1743" s="512"/>
      <c r="L1743" s="512"/>
      <c r="M1743" s="512"/>
      <c r="N1743" s="512"/>
      <c r="O1743" s="512"/>
      <c r="P1743" s="513"/>
      <c r="Q1743" s="63"/>
      <c r="R1743" s="64"/>
    </row>
    <row r="1744" spans="1:20" x14ac:dyDescent="0.2">
      <c r="A1744" s="83"/>
      <c r="B1744" s="480" t="s">
        <v>10</v>
      </c>
      <c r="C1744" s="481"/>
      <c r="D1744" s="481"/>
      <c r="E1744" s="481"/>
      <c r="F1744" s="481"/>
      <c r="G1744" s="481"/>
      <c r="H1744" s="481"/>
      <c r="I1744" s="482"/>
      <c r="J1744" s="79">
        <v>1</v>
      </c>
      <c r="K1744" s="483"/>
      <c r="L1744" s="484"/>
      <c r="M1744" s="484"/>
      <c r="N1744" s="484"/>
      <c r="O1744" s="484"/>
      <c r="P1744" s="485"/>
      <c r="Q1744" s="63"/>
      <c r="R1744" s="64"/>
    </row>
    <row r="1745" spans="1:20" x14ac:dyDescent="0.2">
      <c r="A1745" s="83"/>
      <c r="B1745" s="486" t="s">
        <v>276</v>
      </c>
      <c r="C1745" s="487"/>
      <c r="D1745" s="487"/>
      <c r="E1745" s="487"/>
      <c r="F1745" s="487"/>
      <c r="G1745" s="487"/>
      <c r="H1745" s="487"/>
      <c r="I1745" s="488"/>
      <c r="J1745" s="80">
        <v>2</v>
      </c>
      <c r="K1745" s="454"/>
      <c r="L1745" s="455"/>
      <c r="M1745" s="455"/>
      <c r="N1745" s="455"/>
      <c r="O1745" s="455"/>
      <c r="P1745" s="456"/>
      <c r="Q1745" s="63"/>
      <c r="R1745" s="64"/>
    </row>
    <row r="1746" spans="1:20" x14ac:dyDescent="0.2">
      <c r="A1746" s="83"/>
      <c r="B1746" s="489" t="s">
        <v>234</v>
      </c>
      <c r="C1746" s="490"/>
      <c r="D1746" s="490"/>
      <c r="E1746" s="490"/>
      <c r="F1746" s="490"/>
      <c r="G1746" s="490"/>
      <c r="H1746" s="490"/>
      <c r="I1746" s="491"/>
      <c r="J1746" s="80">
        <v>3</v>
      </c>
      <c r="K1746" s="454"/>
      <c r="L1746" s="455"/>
      <c r="M1746" s="455"/>
      <c r="N1746" s="455"/>
      <c r="O1746" s="455"/>
      <c r="P1746" s="456"/>
      <c r="Q1746" s="63"/>
      <c r="R1746" s="64"/>
    </row>
    <row r="1747" spans="1:20" x14ac:dyDescent="0.2">
      <c r="A1747" s="83"/>
      <c r="B1747" s="468"/>
      <c r="C1747" s="468"/>
      <c r="D1747" s="468"/>
      <c r="E1747" s="468"/>
      <c r="F1747" s="468"/>
      <c r="G1747" s="468"/>
      <c r="H1747" s="468"/>
      <c r="I1747" s="468"/>
      <c r="J1747" s="468"/>
      <c r="K1747" s="468"/>
      <c r="L1747" s="468"/>
      <c r="M1747" s="468"/>
      <c r="N1747" s="468"/>
      <c r="O1747" s="468"/>
      <c r="P1747" s="468"/>
      <c r="Q1747" s="63"/>
      <c r="R1747" s="64"/>
    </row>
    <row r="1748" spans="1:20" ht="12" customHeight="1" x14ac:dyDescent="0.2">
      <c r="A1748" s="83"/>
      <c r="B1748" s="469" t="s">
        <v>84</v>
      </c>
      <c r="C1748" s="471" t="str">
        <f>IF(CODE(B1748)=89,"This candidate would like to receive Special","This candidate would not like to receive Special")</f>
        <v>This candidate would like to receive Special</v>
      </c>
      <c r="D1748" s="472"/>
      <c r="E1748" s="472"/>
      <c r="F1748" s="472"/>
      <c r="G1748" s="472"/>
      <c r="H1748" s="472"/>
      <c r="I1748" s="473"/>
      <c r="J1748" s="81"/>
      <c r="K1748" s="474" t="s">
        <v>235</v>
      </c>
      <c r="L1748" s="474"/>
      <c r="M1748" s="475"/>
      <c r="N1748" s="51" t="str">
        <f>IF($P$33&gt;=50,50,"")</f>
        <v/>
      </c>
      <c r="O1748" s="62" t="s">
        <v>52</v>
      </c>
      <c r="P1748" s="51" t="str">
        <f>IF($P$33&gt;=50,$P$33,"")</f>
        <v/>
      </c>
      <c r="Q1748" s="63"/>
      <c r="R1748" s="64"/>
    </row>
    <row r="1749" spans="1:20" ht="12" customHeight="1" x14ac:dyDescent="0.2">
      <c r="A1749" s="83"/>
      <c r="B1749" s="470"/>
      <c r="C1749" s="476" t="str">
        <f>IF(CODE(B1748)=89,"Announcements and Bulletins from RAD Canada","Announcements and Bulletins from RAD Canada")</f>
        <v>Announcements and Bulletins from RAD Canada</v>
      </c>
      <c r="D1749" s="477"/>
      <c r="E1749" s="477"/>
      <c r="F1749" s="477"/>
      <c r="G1749" s="477"/>
      <c r="H1749" s="477"/>
      <c r="I1749" s="478"/>
      <c r="J1749" s="479"/>
      <c r="K1749" s="400"/>
      <c r="L1749" s="400"/>
      <c r="M1749" s="400"/>
      <c r="N1749" s="400"/>
      <c r="O1749" s="400"/>
      <c r="P1749" s="400"/>
      <c r="Q1749" s="63"/>
      <c r="R1749" s="64"/>
    </row>
    <row r="1750" spans="1:20" x14ac:dyDescent="0.2">
      <c r="A1750" s="83"/>
      <c r="B1750" s="81"/>
      <c r="C1750" s="81"/>
      <c r="D1750" s="81"/>
      <c r="E1750" s="81"/>
      <c r="F1750" s="81"/>
      <c r="G1750" s="81"/>
      <c r="H1750" s="81"/>
      <c r="I1750" s="81"/>
      <c r="J1750" s="81"/>
      <c r="K1750" s="81"/>
      <c r="L1750" s="81"/>
      <c r="M1750" s="81"/>
      <c r="N1750" s="81"/>
      <c r="O1750" s="81"/>
      <c r="P1750" s="81"/>
      <c r="Q1750" s="63"/>
      <c r="R1750" s="64"/>
    </row>
    <row r="1751" spans="1:20" x14ac:dyDescent="0.2">
      <c r="A1751" s="83"/>
      <c r="B1751" s="62"/>
      <c r="C1751" s="62"/>
      <c r="D1751" s="62"/>
      <c r="E1751" s="62"/>
      <c r="F1751" s="62"/>
      <c r="G1751" s="62"/>
      <c r="H1751" s="62"/>
      <c r="I1751" s="62"/>
      <c r="J1751" s="62"/>
      <c r="K1751" s="62"/>
      <c r="L1751" s="62"/>
      <c r="M1751" s="62"/>
      <c r="N1751" s="62"/>
      <c r="O1751" s="62"/>
      <c r="P1751" s="62"/>
      <c r="Q1751" s="63"/>
      <c r="R1751" s="64"/>
    </row>
    <row r="1752" spans="1:20" x14ac:dyDescent="0.2">
      <c r="A1752" s="83"/>
      <c r="B1752" s="401" t="s">
        <v>281</v>
      </c>
      <c r="C1752" s="402"/>
      <c r="D1752" s="402"/>
      <c r="E1752" s="402"/>
      <c r="F1752" s="402"/>
      <c r="G1752" s="402"/>
      <c r="H1752" s="62"/>
      <c r="I1752" s="62"/>
      <c r="J1752" s="62"/>
      <c r="K1752" s="62"/>
      <c r="L1752" s="62"/>
      <c r="M1752" s="62"/>
      <c r="N1752" s="62"/>
      <c r="O1752" s="62"/>
      <c r="P1752" s="62"/>
      <c r="Q1752" s="63"/>
      <c r="R1752" s="64"/>
    </row>
    <row r="1753" spans="1:20" ht="15.75" x14ac:dyDescent="0.25">
      <c r="A1753" s="83"/>
      <c r="B1753" s="402"/>
      <c r="C1753" s="402"/>
      <c r="D1753" s="402"/>
      <c r="E1753" s="402"/>
      <c r="F1753" s="402"/>
      <c r="G1753" s="402"/>
      <c r="H1753" s="82"/>
      <c r="I1753" s="403"/>
      <c r="J1753" s="403"/>
      <c r="K1753" s="403"/>
      <c r="L1753" s="403"/>
      <c r="M1753" s="403"/>
      <c r="N1753" s="403"/>
      <c r="O1753" s="403"/>
      <c r="P1753" s="403"/>
      <c r="Q1753" s="63"/>
      <c r="R1753" s="64"/>
    </row>
    <row r="1754" spans="1:20" x14ac:dyDescent="0.2">
      <c r="A1754" s="83"/>
      <c r="B1754" s="400"/>
      <c r="C1754" s="400"/>
      <c r="D1754" s="400"/>
      <c r="E1754" s="400"/>
      <c r="F1754" s="400"/>
      <c r="G1754" s="400"/>
      <c r="H1754" s="400"/>
      <c r="I1754" s="400"/>
      <c r="J1754" s="400"/>
      <c r="K1754" s="400"/>
      <c r="L1754" s="400"/>
      <c r="M1754" s="403"/>
      <c r="N1754" s="403"/>
      <c r="O1754" s="403"/>
      <c r="P1754" s="403"/>
      <c r="Q1754" s="63"/>
      <c r="R1754" s="64"/>
    </row>
    <row r="1755" spans="1:20" x14ac:dyDescent="0.2">
      <c r="A1755" s="83"/>
      <c r="B1755" s="404" t="s">
        <v>260</v>
      </c>
      <c r="C1755" s="404"/>
      <c r="D1755" s="404"/>
      <c r="E1755" s="404"/>
      <c r="F1755" s="400"/>
      <c r="G1755" s="400"/>
      <c r="H1755" s="400"/>
      <c r="I1755" s="400"/>
      <c r="J1755" s="400"/>
      <c r="K1755" s="400"/>
      <c r="L1755" s="400"/>
      <c r="M1755" s="403"/>
      <c r="N1755" s="403"/>
      <c r="O1755" s="403"/>
      <c r="P1755" s="403"/>
      <c r="Q1755" s="63"/>
      <c r="R1755" s="64"/>
    </row>
    <row r="1756" spans="1:20" x14ac:dyDescent="0.2">
      <c r="A1756" s="83"/>
      <c r="B1756" s="69"/>
      <c r="C1756" s="324" t="s">
        <v>75</v>
      </c>
      <c r="D1756" s="408"/>
      <c r="E1756" s="409"/>
      <c r="F1756" s="400"/>
      <c r="G1756" s="400"/>
      <c r="H1756" s="400"/>
      <c r="I1756" s="400"/>
      <c r="J1756" s="400"/>
      <c r="K1756" s="400"/>
      <c r="L1756" s="400"/>
      <c r="M1756" s="70"/>
      <c r="N1756" s="70"/>
      <c r="O1756" s="70"/>
      <c r="P1756" s="70"/>
      <c r="Q1756" s="63"/>
      <c r="R1756" s="64"/>
    </row>
    <row r="1757" spans="1:20" x14ac:dyDescent="0.2">
      <c r="A1757" s="83"/>
      <c r="B1757" s="71"/>
      <c r="C1757" s="324" t="s">
        <v>128</v>
      </c>
      <c r="D1757" s="408"/>
      <c r="E1757" s="409"/>
      <c r="F1757" s="400"/>
      <c r="G1757" s="400"/>
      <c r="H1757" s="400"/>
      <c r="I1757" s="400"/>
      <c r="J1757" s="400"/>
      <c r="K1757" s="400"/>
      <c r="L1757" s="400"/>
      <c r="M1757" s="407" t="s">
        <v>256</v>
      </c>
      <c r="N1757" s="407"/>
      <c r="O1757" s="407"/>
      <c r="P1757" s="407"/>
      <c r="Q1757" s="63"/>
      <c r="R1757" s="64"/>
    </row>
    <row r="1758" spans="1:20" x14ac:dyDescent="0.2">
      <c r="A1758" s="83"/>
      <c r="B1758" s="56"/>
      <c r="C1758" s="324" t="s">
        <v>282</v>
      </c>
      <c r="D1758" s="408"/>
      <c r="E1758" s="409"/>
      <c r="F1758" s="400"/>
      <c r="G1758" s="400"/>
      <c r="H1758" s="400"/>
      <c r="I1758" s="400"/>
      <c r="J1758" s="400"/>
      <c r="K1758" s="400"/>
      <c r="L1758" s="400"/>
      <c r="M1758" s="407"/>
      <c r="N1758" s="407"/>
      <c r="O1758" s="407"/>
      <c r="P1758" s="407"/>
      <c r="Q1758" s="63"/>
      <c r="R1758" s="64"/>
    </row>
    <row r="1759" spans="1:20" x14ac:dyDescent="0.2">
      <c r="A1759" s="83"/>
      <c r="B1759" s="520"/>
      <c r="C1759" s="520"/>
      <c r="D1759" s="520"/>
      <c r="E1759" s="520"/>
      <c r="F1759" s="520"/>
      <c r="G1759" s="520"/>
      <c r="H1759" s="520"/>
      <c r="I1759" s="520"/>
      <c r="J1759" s="520"/>
      <c r="K1759" s="520"/>
      <c r="L1759" s="520"/>
      <c r="M1759" s="520"/>
      <c r="N1759" s="520"/>
      <c r="O1759" s="520"/>
      <c r="P1759" s="520"/>
      <c r="Q1759" s="63"/>
      <c r="R1759" s="64"/>
    </row>
    <row r="1760" spans="1:20" x14ac:dyDescent="0.2">
      <c r="A1760" s="83"/>
      <c r="B1760" s="432" t="s">
        <v>117</v>
      </c>
      <c r="C1760" s="433"/>
      <c r="D1760" s="434"/>
      <c r="E1760" s="442" t="str">
        <f>IF(AND($P$33&gt;=51,NOT(ISBLANK($E$10))),$E$10,"")</f>
        <v/>
      </c>
      <c r="F1760" s="443"/>
      <c r="G1760" s="444"/>
      <c r="H1760" s="414" t="s">
        <v>124</v>
      </c>
      <c r="I1760" s="415"/>
      <c r="J1760" s="442" t="str">
        <f>IF(AND($P$33&gt;=51,NOT(ISBLANK($J$10))),$J$10,"")</f>
        <v/>
      </c>
      <c r="K1760" s="443"/>
      <c r="L1760" s="444"/>
      <c r="M1760" s="414" t="s">
        <v>118</v>
      </c>
      <c r="N1760" s="415"/>
      <c r="O1760" s="430" t="str">
        <f>IF(AND($P$33&gt;=51,NOT(ISBLANK($O$10))),$O$10,"")</f>
        <v/>
      </c>
      <c r="P1760" s="521"/>
      <c r="Q1760" s="63"/>
      <c r="R1760" s="545" t="s">
        <v>307</v>
      </c>
      <c r="S1760" s="546"/>
      <c r="T1760" s="547"/>
    </row>
    <row r="1761" spans="1:20" x14ac:dyDescent="0.2">
      <c r="A1761" s="83"/>
      <c r="B1761" s="432" t="s">
        <v>240</v>
      </c>
      <c r="C1761" s="433"/>
      <c r="D1761" s="434"/>
      <c r="E1761" s="435" t="str">
        <f>IF(NOT($N1783=51),"",IF(ISERROR(LOOKUP(51,'Teacher Summary Sheet'!$M$19:$M$181)),"",IF(VLOOKUP(51,'Teacher Summary Sheet'!$M$19:$R$181,2)=0,"",VLOOKUP(51,'Teacher Summary Sheet'!$M$19:$R$181,2))))</f>
        <v/>
      </c>
      <c r="F1761" s="436"/>
      <c r="G1761" s="437"/>
      <c r="H1761" s="438" t="s">
        <v>119</v>
      </c>
      <c r="I1761" s="439"/>
      <c r="J1761" s="102" t="str">
        <f>IF(NOT($N1783=51),"",IF(ISERROR(LOOKUP(51,'Teacher Summary Sheet'!$M$19:$M$181)),"",IF(VLOOKUP(51,'Teacher Summary Sheet'!$M$19:$R$181,6)=0,"",VLOOKUP(51,'Teacher Summary Sheet'!$M$19:$R$181,6))))</f>
        <v/>
      </c>
      <c r="K1761" s="414" t="s">
        <v>179</v>
      </c>
      <c r="L1761" s="419"/>
      <c r="M1761" s="415"/>
      <c r="N1761" s="412" t="str">
        <f>IF(NOT($N1783=51),"",IF(ISERROR(LOOKUP(51,'Teacher Summary Sheet'!$M$19:$M$181)),"",IF('Teacher Summary Sheet'!$F$31=0,"",'Teacher Summary Sheet'!$F$31)))</f>
        <v/>
      </c>
      <c r="O1761" s="440"/>
      <c r="P1761" s="413"/>
      <c r="Q1761" s="63"/>
      <c r="R1761" s="548"/>
      <c r="S1761" s="549"/>
      <c r="T1761" s="550"/>
    </row>
    <row r="1762" spans="1:20" ht="14.25" x14ac:dyDescent="0.2">
      <c r="A1762" s="83"/>
      <c r="B1762" s="410" t="s">
        <v>241</v>
      </c>
      <c r="C1762" s="420"/>
      <c r="D1762" s="411"/>
      <c r="E1762" s="421" t="str">
        <f>IF(NOT($N1783=51),"",IF(ISERROR(LOOKUP(51,'Teacher Summary Sheet'!$M$19:$M$181)),"",IF(VLOOKUP(51,'Teacher Summary Sheet'!$M$19:$R$181,3)=0,"",VLOOKUP(51,'Teacher Summary Sheet'!$M$19:$R$181,3))))</f>
        <v/>
      </c>
      <c r="F1762" s="422"/>
      <c r="G1762" s="422"/>
      <c r="H1762" s="422"/>
      <c r="I1762" s="423"/>
      <c r="J1762" s="414" t="s">
        <v>124</v>
      </c>
      <c r="K1762" s="415"/>
      <c r="L1762" s="424" t="str">
        <f>IF(NOT($N1783=51),"",IF(ISERROR(LOOKUP(51,'Teacher Summary Sheet'!$M$19:$M$181)),"",IF(VLOOKUP(51,'Teacher Summary Sheet'!$M$19:$R$181,4)=0,"",VLOOKUP(51,'Teacher Summary Sheet'!$M$19:$R$181,4))))</f>
        <v/>
      </c>
      <c r="M1762" s="425"/>
      <c r="N1762" s="425"/>
      <c r="O1762" s="425"/>
      <c r="P1762" s="426"/>
      <c r="Q1762" s="63"/>
      <c r="R1762" s="125" t="str">
        <f>IF(NOT(N1783=51),"",IF(COUNTIF(R1764:R1770,"P")=7,"P","O"))</f>
        <v/>
      </c>
      <c r="S1762" s="110" t="str">
        <f>IF(NOT(N1783=51),"",IF(COUNTIF(R1764:R1770,"P")=7,"Complete","Incomplete"))</f>
        <v/>
      </c>
      <c r="T1762" s="111"/>
    </row>
    <row r="1763" spans="1:20" x14ac:dyDescent="0.2">
      <c r="A1763" s="83"/>
      <c r="B1763" s="410" t="s">
        <v>120</v>
      </c>
      <c r="C1763" s="420"/>
      <c r="D1763" s="411"/>
      <c r="E1763" s="427"/>
      <c r="F1763" s="428"/>
      <c r="G1763" s="428"/>
      <c r="H1763" s="428"/>
      <c r="I1763" s="428"/>
      <c r="J1763" s="429"/>
      <c r="K1763" s="62" t="s">
        <v>121</v>
      </c>
      <c r="L1763" s="427"/>
      <c r="M1763" s="428"/>
      <c r="N1763" s="428"/>
      <c r="O1763" s="428"/>
      <c r="P1763" s="429"/>
      <c r="Q1763" s="63"/>
    </row>
    <row r="1764" spans="1:20" ht="14.25" x14ac:dyDescent="0.2">
      <c r="A1764" s="83"/>
      <c r="B1764" s="410" t="s">
        <v>196</v>
      </c>
      <c r="C1764" s="420"/>
      <c r="D1764" s="411"/>
      <c r="E1764" s="427"/>
      <c r="F1764" s="428"/>
      <c r="G1764" s="428"/>
      <c r="H1764" s="428"/>
      <c r="I1764" s="429"/>
      <c r="J1764" s="73" t="s">
        <v>197</v>
      </c>
      <c r="K1764" s="405"/>
      <c r="L1764" s="406"/>
      <c r="M1764" s="414" t="s">
        <v>212</v>
      </c>
      <c r="N1764" s="415"/>
      <c r="O1764" s="405"/>
      <c r="P1764" s="406"/>
      <c r="Q1764" s="63"/>
      <c r="R1764" s="124" t="str">
        <f>IF(NOT(N1783=51),"",IF(OR(COUNTBLANK(E1762:E1762)=1,COUNTBLANK(L1762:L1762)=1),"O","P"))</f>
        <v/>
      </c>
      <c r="S1764" s="108" t="str">
        <f>IF(NOT(N1783=51),"","Candidate Name")</f>
        <v/>
      </c>
      <c r="T1764" s="64"/>
    </row>
    <row r="1765" spans="1:20" ht="14.25" x14ac:dyDescent="0.2">
      <c r="A1765" s="83"/>
      <c r="B1765" s="410" t="s">
        <v>198</v>
      </c>
      <c r="C1765" s="420"/>
      <c r="D1765" s="411"/>
      <c r="E1765" s="454"/>
      <c r="F1765" s="455"/>
      <c r="G1765" s="455"/>
      <c r="H1765" s="456"/>
      <c r="I1765" s="74" t="s">
        <v>199</v>
      </c>
      <c r="J1765" s="427"/>
      <c r="K1765" s="428"/>
      <c r="L1765" s="428"/>
      <c r="M1765" s="428"/>
      <c r="N1765" s="428"/>
      <c r="O1765" s="428"/>
      <c r="P1765" s="429"/>
      <c r="Q1765" s="63"/>
      <c r="R1765" s="124" t="str">
        <f>IF(NOT(N1783=51),"",IF(COUNTBLANK(E1761:E1761)=1,"O","P"))</f>
        <v/>
      </c>
      <c r="S1765" s="108" t="str">
        <f>IF(NOT(N1783=51),"","Candidate ID")</f>
        <v/>
      </c>
      <c r="T1765" s="64"/>
    </row>
    <row r="1766" spans="1:20" ht="14.25" x14ac:dyDescent="0.2">
      <c r="A1766" s="83"/>
      <c r="B1766" s="410" t="s">
        <v>227</v>
      </c>
      <c r="C1766" s="420"/>
      <c r="D1766" s="411"/>
      <c r="E1766" s="75" t="s">
        <v>218</v>
      </c>
      <c r="F1766" s="405"/>
      <c r="G1766" s="448"/>
      <c r="H1766" s="75" t="s">
        <v>138</v>
      </c>
      <c r="I1766" s="449"/>
      <c r="J1766" s="450"/>
      <c r="K1766" s="76" t="s">
        <v>139</v>
      </c>
      <c r="L1766" s="451"/>
      <c r="M1766" s="452"/>
      <c r="N1766" s="76" t="s">
        <v>228</v>
      </c>
      <c r="O1766" s="453" t="str">
        <f ca="1">IF(OR(ISBLANK(L1766),ISBLANK(I1766),ISBLANK(F1766),COUNTBLANK(J1761:J1761)=1),"",IF(DATEDIF(DATE(L1766,VLOOKUP(I1766,data!$T$2:$U$13,2,FALSE),F1766),IF(AND(TODAY()&lt;data!$AJ$12,TODAY()&gt;data!$AI$12),data!$AI$3,data!$AJ$3),"Y")&gt;=data!$AC$53,YEAR(TODAY())-L1766,data!$AD$3))</f>
        <v/>
      </c>
      <c r="P1766" s="413"/>
      <c r="Q1766" s="63"/>
      <c r="R1766" s="124" t="str">
        <f>IF(NOT(N1783=51),"",IF(OR(ISBLANK(E1763),ISBLANK(L1763),ISBLANK(K1764),ISBLANK(O1764)),"O","P"))</f>
        <v/>
      </c>
      <c r="S1766" s="108" t="str">
        <f>IF(NOT(N1783=51),"","Address")</f>
        <v/>
      </c>
      <c r="T1766" s="64"/>
    </row>
    <row r="1767" spans="1:20" ht="15" thickBot="1" x14ac:dyDescent="0.25">
      <c r="A1767" s="83"/>
      <c r="B1767" s="410" t="s">
        <v>214</v>
      </c>
      <c r="C1767" s="411"/>
      <c r="D1767" s="412" t="str">
        <f>IF(NOT($N1783=51),"",IF(ISERROR(LOOKUP(51,'Teacher Summary Sheet'!$M$19:$M$181)),"",IF(VLOOKUP(51,'Teacher Summary Sheet'!$M$19:$R$181,5)=0,"",VLOOKUP(51,'Teacher Summary Sheet'!$M$19:$R$181,5))))</f>
        <v/>
      </c>
      <c r="E1767" s="413"/>
      <c r="F1767" s="414" t="s">
        <v>319</v>
      </c>
      <c r="G1767" s="415"/>
      <c r="H1767" s="416"/>
      <c r="I1767" s="417"/>
      <c r="J1767" s="418"/>
      <c r="K1767" s="414" t="s">
        <v>320</v>
      </c>
      <c r="L1767" s="419"/>
      <c r="M1767" s="419"/>
      <c r="N1767" s="415"/>
      <c r="O1767" s="405" t="s">
        <v>268</v>
      </c>
      <c r="P1767" s="406"/>
      <c r="Q1767" s="63"/>
      <c r="R1767" s="124" t="str">
        <f>IF(NOT(N1783=51),"",IF(OR(ISBLANK(F1766),ISBLANK(I1766),ISBLANK(L1766)),"O","P"))</f>
        <v/>
      </c>
      <c r="S1767" s="108" t="str">
        <f>IF(NOT(N1783=51),"","Date of Birth")</f>
        <v/>
      </c>
      <c r="T1767" s="64"/>
    </row>
    <row r="1768" spans="1:20" ht="14.25" x14ac:dyDescent="0.2">
      <c r="A1768" s="83"/>
      <c r="B1768" s="522" t="s">
        <v>297</v>
      </c>
      <c r="C1768" s="463"/>
      <c r="D1768" s="463"/>
      <c r="E1768" s="463"/>
      <c r="F1768" s="463"/>
      <c r="G1768" s="463"/>
      <c r="H1768" s="463"/>
      <c r="I1768" s="463"/>
      <c r="J1768" s="463"/>
      <c r="K1768" s="463"/>
      <c r="L1768" s="463"/>
      <c r="M1768" s="463"/>
      <c r="N1768" s="463"/>
      <c r="O1768" s="463"/>
      <c r="P1768" s="464"/>
      <c r="Q1768" s="63"/>
      <c r="R1768" s="124" t="str">
        <f>IF(NOT(N1783=51),"",IF(COUNTBLANK(J1761:J1761)=1,"O","P"))</f>
        <v/>
      </c>
      <c r="S1768" s="112" t="str">
        <f>IF(NOT(N1783=51),"","Exam Level")</f>
        <v/>
      </c>
      <c r="T1768" s="64"/>
    </row>
    <row r="1769" spans="1:20" ht="14.25" x14ac:dyDescent="0.2">
      <c r="A1769" s="83"/>
      <c r="B1769" s="465"/>
      <c r="C1769" s="466"/>
      <c r="D1769" s="466"/>
      <c r="E1769" s="466"/>
      <c r="F1769" s="466"/>
      <c r="G1769" s="466"/>
      <c r="H1769" s="466"/>
      <c r="I1769" s="466"/>
      <c r="J1769" s="466"/>
      <c r="K1769" s="466"/>
      <c r="L1769" s="466"/>
      <c r="M1769" s="466"/>
      <c r="N1769" s="466"/>
      <c r="O1769" s="466"/>
      <c r="P1769" s="467"/>
      <c r="Q1769" s="63"/>
      <c r="R1769" s="124" t="str">
        <f>IF(NOT(N1783=51),"",IF(COUNTBLANK(D1767:D1767)=1,"O","P"))</f>
        <v/>
      </c>
      <c r="S1769" s="109" t="str">
        <f>IF(NOT(N1783=51),"","Gender")</f>
        <v/>
      </c>
      <c r="T1769" s="64"/>
    </row>
    <row r="1770" spans="1:20" ht="14.25" x14ac:dyDescent="0.2">
      <c r="A1770" s="83"/>
      <c r="B1770" s="432" t="s">
        <v>298</v>
      </c>
      <c r="C1770" s="433"/>
      <c r="D1770" s="434"/>
      <c r="E1770" s="405"/>
      <c r="F1770" s="406"/>
      <c r="G1770" s="432" t="s">
        <v>299</v>
      </c>
      <c r="H1770" s="433"/>
      <c r="I1770" s="434"/>
      <c r="J1770" s="405"/>
      <c r="K1770" s="448"/>
      <c r="L1770" s="406"/>
      <c r="M1770" s="414" t="s">
        <v>300</v>
      </c>
      <c r="N1770" s="415"/>
      <c r="O1770" s="457"/>
      <c r="P1770" s="458"/>
      <c r="Q1770" s="63"/>
      <c r="R1770" s="124" t="str">
        <f>IF(NOT(N1783=51),"",IF(ISBLANK(H1767),"O","P"))</f>
        <v/>
      </c>
      <c r="S1770" s="109" t="str">
        <f>IF(NOT(N1783=51),"","Height")</f>
        <v/>
      </c>
      <c r="T1770" s="64"/>
    </row>
    <row r="1771" spans="1:20" x14ac:dyDescent="0.2">
      <c r="A1771" s="83"/>
      <c r="B1771" s="77" t="s">
        <v>153</v>
      </c>
      <c r="C1771" s="405"/>
      <c r="D1771" s="406"/>
      <c r="E1771" s="414" t="s">
        <v>301</v>
      </c>
      <c r="F1771" s="415"/>
      <c r="G1771" s="459"/>
      <c r="H1771" s="460"/>
      <c r="I1771" s="461"/>
      <c r="J1771" s="414" t="s">
        <v>302</v>
      </c>
      <c r="K1771" s="415"/>
      <c r="L1771" s="454"/>
      <c r="M1771" s="455"/>
      <c r="N1771" s="455"/>
      <c r="O1771" s="455"/>
      <c r="P1771" s="456"/>
      <c r="Q1771" s="63"/>
      <c r="R1771" s="64"/>
      <c r="S1771" s="64"/>
      <c r="T1771" s="64"/>
    </row>
    <row r="1772" spans="1:20" x14ac:dyDescent="0.2">
      <c r="A1772" s="83"/>
      <c r="B1772" s="410" t="s">
        <v>116</v>
      </c>
      <c r="C1772" s="420"/>
      <c r="D1772" s="420"/>
      <c r="E1772" s="420"/>
      <c r="F1772" s="420"/>
      <c r="G1772" s="420"/>
      <c r="H1772" s="420"/>
      <c r="I1772" s="420"/>
      <c r="J1772" s="420"/>
      <c r="K1772" s="420"/>
      <c r="L1772" s="420"/>
      <c r="M1772" s="420"/>
      <c r="N1772" s="420"/>
      <c r="O1772" s="420"/>
      <c r="P1772" s="411"/>
      <c r="Q1772" s="63"/>
      <c r="R1772" s="64"/>
      <c r="S1772" s="64"/>
      <c r="T1772" s="64"/>
    </row>
    <row r="1773" spans="1:20" x14ac:dyDescent="0.2">
      <c r="A1773" s="83"/>
      <c r="B1773" s="410" t="s">
        <v>298</v>
      </c>
      <c r="C1773" s="420"/>
      <c r="D1773" s="411"/>
      <c r="E1773" s="405"/>
      <c r="F1773" s="406"/>
      <c r="G1773" s="410" t="s">
        <v>299</v>
      </c>
      <c r="H1773" s="420"/>
      <c r="I1773" s="411"/>
      <c r="J1773" s="454"/>
      <c r="K1773" s="455"/>
      <c r="L1773" s="456"/>
      <c r="M1773" s="414" t="s">
        <v>300</v>
      </c>
      <c r="N1773" s="415"/>
      <c r="O1773" s="457"/>
      <c r="P1773" s="458"/>
      <c r="Q1773" s="63"/>
      <c r="R1773" s="64"/>
    </row>
    <row r="1774" spans="1:20" ht="13.5" thickBot="1" x14ac:dyDescent="0.25">
      <c r="A1774" s="83"/>
      <c r="B1774" s="78" t="s">
        <v>153</v>
      </c>
      <c r="C1774" s="492"/>
      <c r="D1774" s="493"/>
      <c r="E1774" s="494" t="s">
        <v>301</v>
      </c>
      <c r="F1774" s="495"/>
      <c r="G1774" s="496"/>
      <c r="H1774" s="497"/>
      <c r="I1774" s="498"/>
      <c r="J1774" s="414" t="s">
        <v>302</v>
      </c>
      <c r="K1774" s="415"/>
      <c r="L1774" s="454"/>
      <c r="M1774" s="455"/>
      <c r="N1774" s="455"/>
      <c r="O1774" s="455"/>
      <c r="P1774" s="456"/>
      <c r="Q1774" s="63"/>
      <c r="R1774" s="64"/>
    </row>
    <row r="1775" spans="1:20" x14ac:dyDescent="0.2">
      <c r="A1775" s="83"/>
      <c r="B1775" s="499" t="s">
        <v>126</v>
      </c>
      <c r="C1775" s="500"/>
      <c r="D1775" s="500"/>
      <c r="E1775" s="500"/>
      <c r="F1775" s="500"/>
      <c r="G1775" s="500"/>
      <c r="H1775" s="500"/>
      <c r="I1775" s="501"/>
      <c r="J1775" s="505"/>
      <c r="K1775" s="506"/>
      <c r="L1775" s="506"/>
      <c r="M1775" s="506"/>
      <c r="N1775" s="506"/>
      <c r="O1775" s="506"/>
      <c r="P1775" s="507"/>
      <c r="Q1775" s="63"/>
      <c r="R1775" s="64"/>
    </row>
    <row r="1776" spans="1:20" x14ac:dyDescent="0.2">
      <c r="A1776" s="83"/>
      <c r="B1776" s="502"/>
      <c r="C1776" s="503"/>
      <c r="D1776" s="503"/>
      <c r="E1776" s="503"/>
      <c r="F1776" s="503"/>
      <c r="G1776" s="503"/>
      <c r="H1776" s="503"/>
      <c r="I1776" s="504"/>
      <c r="J1776" s="508"/>
      <c r="K1776" s="509"/>
      <c r="L1776" s="509"/>
      <c r="M1776" s="509"/>
      <c r="N1776" s="509"/>
      <c r="O1776" s="509"/>
      <c r="P1776" s="510"/>
      <c r="Q1776" s="63"/>
      <c r="R1776" s="64"/>
    </row>
    <row r="1777" spans="1:18" x14ac:dyDescent="0.2">
      <c r="A1777" s="83"/>
      <c r="B1777" s="514" t="s">
        <v>127</v>
      </c>
      <c r="C1777" s="515"/>
      <c r="D1777" s="515"/>
      <c r="E1777" s="515"/>
      <c r="F1777" s="515"/>
      <c r="G1777" s="515"/>
      <c r="H1777" s="515"/>
      <c r="I1777" s="516"/>
      <c r="J1777" s="508"/>
      <c r="K1777" s="509"/>
      <c r="L1777" s="509"/>
      <c r="M1777" s="509"/>
      <c r="N1777" s="509"/>
      <c r="O1777" s="509"/>
      <c r="P1777" s="510"/>
      <c r="Q1777" s="63"/>
      <c r="R1777" s="64"/>
    </row>
    <row r="1778" spans="1:18" ht="13.5" thickBot="1" x14ac:dyDescent="0.25">
      <c r="A1778" s="83"/>
      <c r="B1778" s="517"/>
      <c r="C1778" s="518"/>
      <c r="D1778" s="518"/>
      <c r="E1778" s="518"/>
      <c r="F1778" s="518"/>
      <c r="G1778" s="518"/>
      <c r="H1778" s="518"/>
      <c r="I1778" s="519"/>
      <c r="J1778" s="511"/>
      <c r="K1778" s="512"/>
      <c r="L1778" s="512"/>
      <c r="M1778" s="512"/>
      <c r="N1778" s="512"/>
      <c r="O1778" s="512"/>
      <c r="P1778" s="513"/>
      <c r="Q1778" s="63"/>
      <c r="R1778" s="64"/>
    </row>
    <row r="1779" spans="1:18" x14ac:dyDescent="0.2">
      <c r="A1779" s="83"/>
      <c r="B1779" s="480" t="s">
        <v>10</v>
      </c>
      <c r="C1779" s="481"/>
      <c r="D1779" s="481"/>
      <c r="E1779" s="481"/>
      <c r="F1779" s="481"/>
      <c r="G1779" s="481"/>
      <c r="H1779" s="481"/>
      <c r="I1779" s="482"/>
      <c r="J1779" s="79">
        <v>1</v>
      </c>
      <c r="K1779" s="483"/>
      <c r="L1779" s="484"/>
      <c r="M1779" s="484"/>
      <c r="N1779" s="484"/>
      <c r="O1779" s="484"/>
      <c r="P1779" s="485"/>
      <c r="Q1779" s="63"/>
      <c r="R1779" s="64"/>
    </row>
    <row r="1780" spans="1:18" x14ac:dyDescent="0.2">
      <c r="A1780" s="83"/>
      <c r="B1780" s="486" t="s">
        <v>276</v>
      </c>
      <c r="C1780" s="487"/>
      <c r="D1780" s="487"/>
      <c r="E1780" s="487"/>
      <c r="F1780" s="487"/>
      <c r="G1780" s="487"/>
      <c r="H1780" s="487"/>
      <c r="I1780" s="488"/>
      <c r="J1780" s="80">
        <v>2</v>
      </c>
      <c r="K1780" s="454"/>
      <c r="L1780" s="455"/>
      <c r="M1780" s="455"/>
      <c r="N1780" s="455"/>
      <c r="O1780" s="455"/>
      <c r="P1780" s="456"/>
      <c r="Q1780" s="63"/>
      <c r="R1780" s="64"/>
    </row>
    <row r="1781" spans="1:18" x14ac:dyDescent="0.2">
      <c r="A1781" s="83"/>
      <c r="B1781" s="489" t="s">
        <v>234</v>
      </c>
      <c r="C1781" s="490"/>
      <c r="D1781" s="490"/>
      <c r="E1781" s="490"/>
      <c r="F1781" s="490"/>
      <c r="G1781" s="490"/>
      <c r="H1781" s="490"/>
      <c r="I1781" s="491"/>
      <c r="J1781" s="80">
        <v>3</v>
      </c>
      <c r="K1781" s="454"/>
      <c r="L1781" s="455"/>
      <c r="M1781" s="455"/>
      <c r="N1781" s="455"/>
      <c r="O1781" s="455"/>
      <c r="P1781" s="456"/>
      <c r="Q1781" s="63"/>
      <c r="R1781" s="64"/>
    </row>
    <row r="1782" spans="1:18" x14ac:dyDescent="0.2">
      <c r="A1782" s="83"/>
      <c r="B1782" s="468"/>
      <c r="C1782" s="468"/>
      <c r="D1782" s="468"/>
      <c r="E1782" s="468"/>
      <c r="F1782" s="468"/>
      <c r="G1782" s="468"/>
      <c r="H1782" s="468"/>
      <c r="I1782" s="468"/>
      <c r="J1782" s="468"/>
      <c r="K1782" s="468"/>
      <c r="L1782" s="468"/>
      <c r="M1782" s="468"/>
      <c r="N1782" s="468"/>
      <c r="O1782" s="468"/>
      <c r="P1782" s="468"/>
      <c r="Q1782" s="63"/>
      <c r="R1782" s="64"/>
    </row>
    <row r="1783" spans="1:18" ht="12" customHeight="1" x14ac:dyDescent="0.2">
      <c r="A1783" s="83"/>
      <c r="B1783" s="469" t="s">
        <v>84</v>
      </c>
      <c r="C1783" s="471" t="str">
        <f>IF(CODE(B1783)=89,"This candidate would like to receive Special","This candidate would not like to receive Special")</f>
        <v>This candidate would like to receive Special</v>
      </c>
      <c r="D1783" s="472"/>
      <c r="E1783" s="472"/>
      <c r="F1783" s="472"/>
      <c r="G1783" s="472"/>
      <c r="H1783" s="472"/>
      <c r="I1783" s="473"/>
      <c r="J1783" s="81"/>
      <c r="K1783" s="474" t="s">
        <v>235</v>
      </c>
      <c r="L1783" s="474"/>
      <c r="M1783" s="475"/>
      <c r="N1783" s="51" t="str">
        <f>IF($P$33&gt;=51,51,"")</f>
        <v/>
      </c>
      <c r="O1783" s="62" t="s">
        <v>52</v>
      </c>
      <c r="P1783" s="51" t="str">
        <f>IF($P$33&gt;=51,$P$33,"")</f>
        <v/>
      </c>
      <c r="Q1783" s="63"/>
      <c r="R1783" s="64"/>
    </row>
    <row r="1784" spans="1:18" ht="12" customHeight="1" x14ac:dyDescent="0.2">
      <c r="A1784" s="83"/>
      <c r="B1784" s="470"/>
      <c r="C1784" s="476" t="str">
        <f>IF(CODE(B1783)=89,"Announcements and Bulletins from RAD Canada","Announcements and Bulletins from RAD Canada")</f>
        <v>Announcements and Bulletins from RAD Canada</v>
      </c>
      <c r="D1784" s="477"/>
      <c r="E1784" s="477"/>
      <c r="F1784" s="477"/>
      <c r="G1784" s="477"/>
      <c r="H1784" s="477"/>
      <c r="I1784" s="478"/>
      <c r="J1784" s="479"/>
      <c r="K1784" s="400"/>
      <c r="L1784" s="400"/>
      <c r="M1784" s="400"/>
      <c r="N1784" s="400"/>
      <c r="O1784" s="400"/>
      <c r="P1784" s="400"/>
      <c r="Q1784" s="63"/>
      <c r="R1784" s="64"/>
    </row>
    <row r="1785" spans="1:18" x14ac:dyDescent="0.2">
      <c r="A1785" s="83"/>
      <c r="B1785" s="81"/>
      <c r="C1785" s="81"/>
      <c r="D1785" s="81"/>
      <c r="E1785" s="81"/>
      <c r="F1785" s="81"/>
      <c r="G1785" s="81"/>
      <c r="H1785" s="81"/>
      <c r="I1785" s="81"/>
      <c r="J1785" s="81"/>
      <c r="K1785" s="81"/>
      <c r="L1785" s="81"/>
      <c r="M1785" s="81"/>
      <c r="N1785" s="81"/>
      <c r="O1785" s="81"/>
      <c r="P1785" s="81"/>
      <c r="Q1785" s="63"/>
      <c r="R1785" s="64"/>
    </row>
    <row r="1786" spans="1:18" x14ac:dyDescent="0.2">
      <c r="A1786" s="83"/>
      <c r="B1786" s="62"/>
      <c r="C1786" s="62"/>
      <c r="D1786" s="62"/>
      <c r="E1786" s="62"/>
      <c r="F1786" s="62"/>
      <c r="G1786" s="62"/>
      <c r="H1786" s="62"/>
      <c r="I1786" s="62"/>
      <c r="J1786" s="62"/>
      <c r="K1786" s="62"/>
      <c r="L1786" s="62"/>
      <c r="M1786" s="62"/>
      <c r="N1786" s="62"/>
      <c r="O1786" s="62"/>
      <c r="P1786" s="62"/>
      <c r="Q1786" s="63"/>
      <c r="R1786" s="64"/>
    </row>
    <row r="1787" spans="1:18" x14ac:dyDescent="0.2">
      <c r="A1787" s="83"/>
      <c r="B1787" s="401" t="s">
        <v>172</v>
      </c>
      <c r="C1787" s="402"/>
      <c r="D1787" s="402"/>
      <c r="E1787" s="402"/>
      <c r="F1787" s="402"/>
      <c r="G1787" s="402"/>
      <c r="H1787" s="62"/>
      <c r="I1787" s="62"/>
      <c r="J1787" s="62"/>
      <c r="K1787" s="62"/>
      <c r="L1787" s="62"/>
      <c r="M1787" s="62"/>
      <c r="N1787" s="62"/>
      <c r="O1787" s="62"/>
      <c r="P1787" s="62"/>
      <c r="Q1787" s="63"/>
      <c r="R1787" s="64"/>
    </row>
    <row r="1788" spans="1:18" ht="15.75" x14ac:dyDescent="0.25">
      <c r="A1788" s="83"/>
      <c r="B1788" s="402"/>
      <c r="C1788" s="402"/>
      <c r="D1788" s="402"/>
      <c r="E1788" s="402"/>
      <c r="F1788" s="402"/>
      <c r="G1788" s="402"/>
      <c r="H1788" s="82"/>
      <c r="I1788" s="403"/>
      <c r="J1788" s="403"/>
      <c r="K1788" s="403"/>
      <c r="L1788" s="403"/>
      <c r="M1788" s="403"/>
      <c r="N1788" s="403"/>
      <c r="O1788" s="403"/>
      <c r="P1788" s="403"/>
      <c r="Q1788" s="63"/>
      <c r="R1788" s="64"/>
    </row>
    <row r="1789" spans="1:18" x14ac:dyDescent="0.2">
      <c r="A1789" s="83"/>
      <c r="B1789" s="400"/>
      <c r="C1789" s="400"/>
      <c r="D1789" s="400"/>
      <c r="E1789" s="400"/>
      <c r="F1789" s="400"/>
      <c r="G1789" s="400"/>
      <c r="H1789" s="400"/>
      <c r="I1789" s="400"/>
      <c r="J1789" s="400"/>
      <c r="K1789" s="400"/>
      <c r="L1789" s="400"/>
      <c r="M1789" s="403"/>
      <c r="N1789" s="403"/>
      <c r="O1789" s="403"/>
      <c r="P1789" s="403"/>
      <c r="Q1789" s="63"/>
      <c r="R1789" s="64"/>
    </row>
    <row r="1790" spans="1:18" x14ac:dyDescent="0.2">
      <c r="A1790" s="83"/>
      <c r="B1790" s="404" t="s">
        <v>260</v>
      </c>
      <c r="C1790" s="404"/>
      <c r="D1790" s="404"/>
      <c r="E1790" s="404"/>
      <c r="F1790" s="400"/>
      <c r="G1790" s="400"/>
      <c r="H1790" s="400"/>
      <c r="I1790" s="400"/>
      <c r="J1790" s="400"/>
      <c r="K1790" s="400"/>
      <c r="L1790" s="400"/>
      <c r="M1790" s="403"/>
      <c r="N1790" s="403"/>
      <c r="O1790" s="403"/>
      <c r="P1790" s="403"/>
      <c r="Q1790" s="63"/>
      <c r="R1790" s="64"/>
    </row>
    <row r="1791" spans="1:18" x14ac:dyDescent="0.2">
      <c r="A1791" s="83"/>
      <c r="B1791" s="69"/>
      <c r="C1791" s="324" t="s">
        <v>75</v>
      </c>
      <c r="D1791" s="408"/>
      <c r="E1791" s="409"/>
      <c r="F1791" s="400"/>
      <c r="G1791" s="400"/>
      <c r="H1791" s="400"/>
      <c r="I1791" s="400"/>
      <c r="J1791" s="400"/>
      <c r="K1791" s="400"/>
      <c r="L1791" s="400"/>
      <c r="M1791" s="70"/>
      <c r="N1791" s="70"/>
      <c r="O1791" s="70"/>
      <c r="P1791" s="70"/>
      <c r="Q1791" s="63"/>
      <c r="R1791" s="64"/>
    </row>
    <row r="1792" spans="1:18" x14ac:dyDescent="0.2">
      <c r="A1792" s="83"/>
      <c r="B1792" s="71"/>
      <c r="C1792" s="324" t="s">
        <v>128</v>
      </c>
      <c r="D1792" s="408"/>
      <c r="E1792" s="409"/>
      <c r="F1792" s="400"/>
      <c r="G1792" s="400"/>
      <c r="H1792" s="400"/>
      <c r="I1792" s="400"/>
      <c r="J1792" s="400"/>
      <c r="K1792" s="400"/>
      <c r="L1792" s="400"/>
      <c r="M1792" s="407" t="s">
        <v>256</v>
      </c>
      <c r="N1792" s="407"/>
      <c r="O1792" s="407"/>
      <c r="P1792" s="407"/>
      <c r="Q1792" s="63"/>
      <c r="R1792" s="64"/>
    </row>
    <row r="1793" spans="1:20" x14ac:dyDescent="0.2">
      <c r="A1793" s="83"/>
      <c r="B1793" s="56"/>
      <c r="C1793" s="324" t="s">
        <v>142</v>
      </c>
      <c r="D1793" s="408"/>
      <c r="E1793" s="409"/>
      <c r="F1793" s="400"/>
      <c r="G1793" s="400"/>
      <c r="H1793" s="400"/>
      <c r="I1793" s="400"/>
      <c r="J1793" s="400"/>
      <c r="K1793" s="400"/>
      <c r="L1793" s="400"/>
      <c r="M1793" s="407"/>
      <c r="N1793" s="407"/>
      <c r="O1793" s="407"/>
      <c r="P1793" s="407"/>
      <c r="Q1793" s="63"/>
      <c r="R1793" s="64"/>
    </row>
    <row r="1794" spans="1:20" x14ac:dyDescent="0.2">
      <c r="A1794" s="83"/>
      <c r="B1794" s="520"/>
      <c r="C1794" s="520"/>
      <c r="D1794" s="520"/>
      <c r="E1794" s="520"/>
      <c r="F1794" s="520"/>
      <c r="G1794" s="520"/>
      <c r="H1794" s="520"/>
      <c r="I1794" s="520"/>
      <c r="J1794" s="520"/>
      <c r="K1794" s="520"/>
      <c r="L1794" s="520"/>
      <c r="M1794" s="520"/>
      <c r="N1794" s="520"/>
      <c r="O1794" s="520"/>
      <c r="P1794" s="520"/>
      <c r="Q1794" s="63"/>
      <c r="R1794" s="64"/>
    </row>
    <row r="1795" spans="1:20" x14ac:dyDescent="0.2">
      <c r="A1795" s="83"/>
      <c r="B1795" s="432" t="s">
        <v>117</v>
      </c>
      <c r="C1795" s="433"/>
      <c r="D1795" s="434"/>
      <c r="E1795" s="442" t="str">
        <f>IF(AND($P$33&gt;=52,NOT(ISBLANK($E$10))),$E$10,"")</f>
        <v/>
      </c>
      <c r="F1795" s="443"/>
      <c r="G1795" s="444"/>
      <c r="H1795" s="414" t="s">
        <v>124</v>
      </c>
      <c r="I1795" s="415"/>
      <c r="J1795" s="442" t="str">
        <f>IF(AND($P$33&gt;=52,NOT(ISBLANK($J$10))),$J$10,"")</f>
        <v/>
      </c>
      <c r="K1795" s="443"/>
      <c r="L1795" s="444"/>
      <c r="M1795" s="414" t="s">
        <v>118</v>
      </c>
      <c r="N1795" s="415"/>
      <c r="O1795" s="430" t="str">
        <f>IF(AND($P$33&gt;=52,NOT(ISBLANK($O$10))),$O$10,"")</f>
        <v/>
      </c>
      <c r="P1795" s="521"/>
      <c r="Q1795" s="63"/>
      <c r="R1795" s="545" t="s">
        <v>307</v>
      </c>
      <c r="S1795" s="546"/>
      <c r="T1795" s="547"/>
    </row>
    <row r="1796" spans="1:20" x14ac:dyDescent="0.2">
      <c r="A1796" s="83"/>
      <c r="B1796" s="432" t="s">
        <v>240</v>
      </c>
      <c r="C1796" s="433"/>
      <c r="D1796" s="434"/>
      <c r="E1796" s="435" t="str">
        <f>IF(NOT($N1818=52),"",IF(ISERROR(LOOKUP(52,'Teacher Summary Sheet'!$M$19:$M$181)),"",IF(VLOOKUP(52,'Teacher Summary Sheet'!$M$19:$R$181,2)=0,"",VLOOKUP(52,'Teacher Summary Sheet'!$M$19:$R$181,2))))</f>
        <v/>
      </c>
      <c r="F1796" s="436"/>
      <c r="G1796" s="437"/>
      <c r="H1796" s="438" t="s">
        <v>119</v>
      </c>
      <c r="I1796" s="439"/>
      <c r="J1796" s="102" t="str">
        <f>IF(NOT($N1818=52),"",IF(ISERROR(LOOKUP(52,'Teacher Summary Sheet'!$M$19:$M$181)),"",IF(VLOOKUP(52,'Teacher Summary Sheet'!$M$19:$R$181,6)=0,"",VLOOKUP(52,'Teacher Summary Sheet'!$M$19:$R$181,6))))</f>
        <v/>
      </c>
      <c r="K1796" s="414" t="s">
        <v>179</v>
      </c>
      <c r="L1796" s="419"/>
      <c r="M1796" s="415"/>
      <c r="N1796" s="412" t="str">
        <f>IF(NOT($N1818=52),"",IF(ISERROR(LOOKUP(52,'Teacher Summary Sheet'!$M$19:$M$181)),"",IF('Teacher Summary Sheet'!$F$31=0,"",'Teacher Summary Sheet'!$F$31)))</f>
        <v/>
      </c>
      <c r="O1796" s="440"/>
      <c r="P1796" s="413"/>
      <c r="Q1796" s="63"/>
      <c r="R1796" s="548"/>
      <c r="S1796" s="549"/>
      <c r="T1796" s="550"/>
    </row>
    <row r="1797" spans="1:20" ht="14.25" x14ac:dyDescent="0.2">
      <c r="A1797" s="83"/>
      <c r="B1797" s="410" t="s">
        <v>241</v>
      </c>
      <c r="C1797" s="420"/>
      <c r="D1797" s="411"/>
      <c r="E1797" s="421" t="str">
        <f>IF(NOT($N1818=52),"",IF(ISERROR(LOOKUP(52,'Teacher Summary Sheet'!$M$19:$M$181)),"",IF(VLOOKUP(52,'Teacher Summary Sheet'!$M$19:$R$181,3)=0,"",VLOOKUP(52,'Teacher Summary Sheet'!$M$19:$R$181,3))))</f>
        <v/>
      </c>
      <c r="F1797" s="422"/>
      <c r="G1797" s="422"/>
      <c r="H1797" s="422"/>
      <c r="I1797" s="423"/>
      <c r="J1797" s="414" t="s">
        <v>124</v>
      </c>
      <c r="K1797" s="415"/>
      <c r="L1797" s="424" t="str">
        <f>IF(NOT($N1818=52),"",IF(ISERROR(LOOKUP(52,'Teacher Summary Sheet'!$M$19:$M$181)),"",IF(VLOOKUP(52,'Teacher Summary Sheet'!$M$19:$R$181,4)=0,"",VLOOKUP(52,'Teacher Summary Sheet'!$M$19:$R$181,4))))</f>
        <v/>
      </c>
      <c r="M1797" s="425"/>
      <c r="N1797" s="425"/>
      <c r="O1797" s="425"/>
      <c r="P1797" s="426"/>
      <c r="Q1797" s="63"/>
      <c r="R1797" s="125" t="str">
        <f>IF(NOT(N1818=52),"",IF(COUNTIF(R1799:R1805,"P")=7,"P","O"))</f>
        <v/>
      </c>
      <c r="S1797" s="110" t="str">
        <f>IF(NOT(N1818=52),"",IF(COUNTIF(R1799:R1805,"P")=7,"Complete","Incomplete"))</f>
        <v/>
      </c>
      <c r="T1797" s="111"/>
    </row>
    <row r="1798" spans="1:20" x14ac:dyDescent="0.2">
      <c r="A1798" s="83"/>
      <c r="B1798" s="410" t="s">
        <v>120</v>
      </c>
      <c r="C1798" s="420"/>
      <c r="D1798" s="411"/>
      <c r="E1798" s="427"/>
      <c r="F1798" s="428"/>
      <c r="G1798" s="428"/>
      <c r="H1798" s="428"/>
      <c r="I1798" s="428"/>
      <c r="J1798" s="429"/>
      <c r="K1798" s="62" t="s">
        <v>121</v>
      </c>
      <c r="L1798" s="427"/>
      <c r="M1798" s="428"/>
      <c r="N1798" s="428"/>
      <c r="O1798" s="428"/>
      <c r="P1798" s="429"/>
      <c r="Q1798" s="63"/>
    </row>
    <row r="1799" spans="1:20" ht="14.25" x14ac:dyDescent="0.2">
      <c r="A1799" s="83"/>
      <c r="B1799" s="410" t="s">
        <v>196</v>
      </c>
      <c r="C1799" s="420"/>
      <c r="D1799" s="411"/>
      <c r="E1799" s="427"/>
      <c r="F1799" s="428"/>
      <c r="G1799" s="428"/>
      <c r="H1799" s="428"/>
      <c r="I1799" s="429"/>
      <c r="J1799" s="73" t="s">
        <v>197</v>
      </c>
      <c r="K1799" s="405"/>
      <c r="L1799" s="406"/>
      <c r="M1799" s="414" t="s">
        <v>212</v>
      </c>
      <c r="N1799" s="415"/>
      <c r="O1799" s="405"/>
      <c r="P1799" s="406"/>
      <c r="Q1799" s="63"/>
      <c r="R1799" s="124" t="str">
        <f>IF(NOT(N1818=52),"",IF(OR(COUNTBLANK(E1797:E1797)=1,COUNTBLANK(L1797:L1797)=1),"O","P"))</f>
        <v/>
      </c>
      <c r="S1799" s="108" t="str">
        <f>IF(NOT(N1818=52),"","Candidate Name")</f>
        <v/>
      </c>
      <c r="T1799" s="64"/>
    </row>
    <row r="1800" spans="1:20" ht="14.25" x14ac:dyDescent="0.2">
      <c r="A1800" s="83"/>
      <c r="B1800" s="410" t="s">
        <v>198</v>
      </c>
      <c r="C1800" s="420"/>
      <c r="D1800" s="411"/>
      <c r="E1800" s="454"/>
      <c r="F1800" s="455"/>
      <c r="G1800" s="455"/>
      <c r="H1800" s="456"/>
      <c r="I1800" s="74" t="s">
        <v>199</v>
      </c>
      <c r="J1800" s="427"/>
      <c r="K1800" s="428"/>
      <c r="L1800" s="428"/>
      <c r="M1800" s="428"/>
      <c r="N1800" s="428"/>
      <c r="O1800" s="428"/>
      <c r="P1800" s="429"/>
      <c r="Q1800" s="63"/>
      <c r="R1800" s="124" t="str">
        <f>IF(NOT(N1818=52),"",IF(COUNTBLANK(E1796:E1796)=1,"O","P"))</f>
        <v/>
      </c>
      <c r="S1800" s="108" t="str">
        <f>IF(NOT(N1818=52),"","Candidate ID")</f>
        <v/>
      </c>
      <c r="T1800" s="64"/>
    </row>
    <row r="1801" spans="1:20" ht="14.25" x14ac:dyDescent="0.2">
      <c r="A1801" s="83"/>
      <c r="B1801" s="410" t="s">
        <v>227</v>
      </c>
      <c r="C1801" s="420"/>
      <c r="D1801" s="411"/>
      <c r="E1801" s="75" t="s">
        <v>218</v>
      </c>
      <c r="F1801" s="405"/>
      <c r="G1801" s="448"/>
      <c r="H1801" s="75" t="s">
        <v>138</v>
      </c>
      <c r="I1801" s="449"/>
      <c r="J1801" s="450"/>
      <c r="K1801" s="76" t="s">
        <v>139</v>
      </c>
      <c r="L1801" s="451"/>
      <c r="M1801" s="452"/>
      <c r="N1801" s="76" t="s">
        <v>228</v>
      </c>
      <c r="O1801" s="453" t="str">
        <f ca="1">IF(OR(ISBLANK(L1801),ISBLANK(I1801),ISBLANK(F1801),COUNTBLANK(J1796:J1796)=1),"",IF(DATEDIF(DATE(L1801,VLOOKUP(I1801,data!$T$2:$U$13,2,FALSE),F1801),IF(AND(TODAY()&lt;data!$AJ$12,TODAY()&gt;data!$AI$12),data!$AI$3,data!$AJ$3),"Y")&gt;=data!$AC$54,YEAR(TODAY())-L1801,data!$AD$3))</f>
        <v/>
      </c>
      <c r="P1801" s="413"/>
      <c r="Q1801" s="63"/>
      <c r="R1801" s="124" t="str">
        <f>IF(NOT(N1818=52),"",IF(OR(ISBLANK(E1798),ISBLANK(L1798),ISBLANK(K1799),ISBLANK(O1799)),"O","P"))</f>
        <v/>
      </c>
      <c r="S1801" s="108" t="str">
        <f>IF(NOT(N1818=52),"","Address")</f>
        <v/>
      </c>
      <c r="T1801" s="64"/>
    </row>
    <row r="1802" spans="1:20" ht="15" thickBot="1" x14ac:dyDescent="0.25">
      <c r="A1802" s="83"/>
      <c r="B1802" s="410" t="s">
        <v>214</v>
      </c>
      <c r="C1802" s="411"/>
      <c r="D1802" s="412" t="str">
        <f>IF(NOT($N1818=52),"",IF(ISERROR(LOOKUP(52,'Teacher Summary Sheet'!$M$19:$M$181)),"",IF(VLOOKUP(52,'Teacher Summary Sheet'!$M$19:$R$181,5)=0,"",VLOOKUP(52,'Teacher Summary Sheet'!$M$19:$R$181,5))))</f>
        <v/>
      </c>
      <c r="E1802" s="413"/>
      <c r="F1802" s="414" t="s">
        <v>319</v>
      </c>
      <c r="G1802" s="415"/>
      <c r="H1802" s="416"/>
      <c r="I1802" s="417"/>
      <c r="J1802" s="418"/>
      <c r="K1802" s="414" t="s">
        <v>320</v>
      </c>
      <c r="L1802" s="419"/>
      <c r="M1802" s="419"/>
      <c r="N1802" s="415"/>
      <c r="O1802" s="405" t="s">
        <v>268</v>
      </c>
      <c r="P1802" s="406"/>
      <c r="Q1802" s="63"/>
      <c r="R1802" s="124" t="str">
        <f>IF(NOT(N1818=52),"",IF(OR(ISBLANK(F1801),ISBLANK(I1801),ISBLANK(L1801)),"O","P"))</f>
        <v/>
      </c>
      <c r="S1802" s="108" t="str">
        <f>IF(NOT(N1818=52),"","Date of Birth")</f>
        <v/>
      </c>
      <c r="T1802" s="64"/>
    </row>
    <row r="1803" spans="1:20" ht="14.25" x14ac:dyDescent="0.2">
      <c r="A1803" s="83"/>
      <c r="B1803" s="522" t="s">
        <v>297</v>
      </c>
      <c r="C1803" s="463"/>
      <c r="D1803" s="463"/>
      <c r="E1803" s="463"/>
      <c r="F1803" s="463"/>
      <c r="G1803" s="463"/>
      <c r="H1803" s="463"/>
      <c r="I1803" s="463"/>
      <c r="J1803" s="463"/>
      <c r="K1803" s="463"/>
      <c r="L1803" s="463"/>
      <c r="M1803" s="463"/>
      <c r="N1803" s="463"/>
      <c r="O1803" s="463"/>
      <c r="P1803" s="464"/>
      <c r="Q1803" s="63"/>
      <c r="R1803" s="124" t="str">
        <f>IF(NOT(N1818=52),"",IF(COUNTBLANK(J1796:J1796)=1,"O","P"))</f>
        <v/>
      </c>
      <c r="S1803" s="112" t="str">
        <f>IF(NOT(N1818=52),"","Exam Level")</f>
        <v/>
      </c>
      <c r="T1803" s="64"/>
    </row>
    <row r="1804" spans="1:20" ht="14.25" x14ac:dyDescent="0.2">
      <c r="A1804" s="83"/>
      <c r="B1804" s="465"/>
      <c r="C1804" s="466"/>
      <c r="D1804" s="466"/>
      <c r="E1804" s="466"/>
      <c r="F1804" s="466"/>
      <c r="G1804" s="466"/>
      <c r="H1804" s="466"/>
      <c r="I1804" s="466"/>
      <c r="J1804" s="466"/>
      <c r="K1804" s="466"/>
      <c r="L1804" s="466"/>
      <c r="M1804" s="466"/>
      <c r="N1804" s="466"/>
      <c r="O1804" s="466"/>
      <c r="P1804" s="467"/>
      <c r="Q1804" s="63"/>
      <c r="R1804" s="124" t="str">
        <f>IF(NOT(N1818=52),"",IF(COUNTBLANK(D1802:D1802)=1,"O","P"))</f>
        <v/>
      </c>
      <c r="S1804" s="109" t="str">
        <f>IF(NOT(N1818=52),"","Gender")</f>
        <v/>
      </c>
      <c r="T1804" s="64"/>
    </row>
    <row r="1805" spans="1:20" ht="14.25" x14ac:dyDescent="0.2">
      <c r="A1805" s="83"/>
      <c r="B1805" s="432" t="s">
        <v>298</v>
      </c>
      <c r="C1805" s="433"/>
      <c r="D1805" s="434"/>
      <c r="E1805" s="405"/>
      <c r="F1805" s="406"/>
      <c r="G1805" s="432" t="s">
        <v>299</v>
      </c>
      <c r="H1805" s="433"/>
      <c r="I1805" s="434"/>
      <c r="J1805" s="405"/>
      <c r="K1805" s="448"/>
      <c r="L1805" s="406"/>
      <c r="M1805" s="414" t="s">
        <v>300</v>
      </c>
      <c r="N1805" s="415"/>
      <c r="O1805" s="457"/>
      <c r="P1805" s="458"/>
      <c r="Q1805" s="63"/>
      <c r="R1805" s="124" t="str">
        <f>IF(NOT(N1818=52),"",IF(ISBLANK(H1802),"O","P"))</f>
        <v/>
      </c>
      <c r="S1805" s="109" t="str">
        <f>IF(NOT(N1818=52),"","Height")</f>
        <v/>
      </c>
      <c r="T1805" s="64"/>
    </row>
    <row r="1806" spans="1:20" x14ac:dyDescent="0.2">
      <c r="A1806" s="83"/>
      <c r="B1806" s="77" t="s">
        <v>153</v>
      </c>
      <c r="C1806" s="405"/>
      <c r="D1806" s="406"/>
      <c r="E1806" s="414" t="s">
        <v>301</v>
      </c>
      <c r="F1806" s="415"/>
      <c r="G1806" s="459"/>
      <c r="H1806" s="460"/>
      <c r="I1806" s="461"/>
      <c r="J1806" s="414" t="s">
        <v>302</v>
      </c>
      <c r="K1806" s="415"/>
      <c r="L1806" s="454"/>
      <c r="M1806" s="455"/>
      <c r="N1806" s="455"/>
      <c r="O1806" s="455"/>
      <c r="P1806" s="456"/>
      <c r="Q1806" s="63"/>
      <c r="R1806" s="64"/>
      <c r="S1806" s="64"/>
      <c r="T1806" s="64"/>
    </row>
    <row r="1807" spans="1:20" x14ac:dyDescent="0.2">
      <c r="A1807" s="83"/>
      <c r="B1807" s="410" t="s">
        <v>116</v>
      </c>
      <c r="C1807" s="420"/>
      <c r="D1807" s="420"/>
      <c r="E1807" s="420"/>
      <c r="F1807" s="420"/>
      <c r="G1807" s="420"/>
      <c r="H1807" s="420"/>
      <c r="I1807" s="420"/>
      <c r="J1807" s="420"/>
      <c r="K1807" s="420"/>
      <c r="L1807" s="420"/>
      <c r="M1807" s="420"/>
      <c r="N1807" s="420"/>
      <c r="O1807" s="420"/>
      <c r="P1807" s="411"/>
      <c r="Q1807" s="63"/>
      <c r="R1807" s="64"/>
      <c r="S1807" s="64"/>
      <c r="T1807" s="64"/>
    </row>
    <row r="1808" spans="1:20" x14ac:dyDescent="0.2">
      <c r="A1808" s="83"/>
      <c r="B1808" s="410" t="s">
        <v>298</v>
      </c>
      <c r="C1808" s="420"/>
      <c r="D1808" s="411"/>
      <c r="E1808" s="405"/>
      <c r="F1808" s="406"/>
      <c r="G1808" s="410" t="s">
        <v>299</v>
      </c>
      <c r="H1808" s="420"/>
      <c r="I1808" s="411"/>
      <c r="J1808" s="454"/>
      <c r="K1808" s="455"/>
      <c r="L1808" s="456"/>
      <c r="M1808" s="414" t="s">
        <v>300</v>
      </c>
      <c r="N1808" s="415"/>
      <c r="O1808" s="457"/>
      <c r="P1808" s="458"/>
      <c r="Q1808" s="63"/>
      <c r="R1808" s="64"/>
    </row>
    <row r="1809" spans="1:18" ht="13.5" thickBot="1" x14ac:dyDescent="0.25">
      <c r="A1809" s="83"/>
      <c r="B1809" s="78" t="s">
        <v>153</v>
      </c>
      <c r="C1809" s="492"/>
      <c r="D1809" s="493"/>
      <c r="E1809" s="494" t="s">
        <v>301</v>
      </c>
      <c r="F1809" s="495"/>
      <c r="G1809" s="496"/>
      <c r="H1809" s="497"/>
      <c r="I1809" s="498"/>
      <c r="J1809" s="414" t="s">
        <v>302</v>
      </c>
      <c r="K1809" s="415"/>
      <c r="L1809" s="454"/>
      <c r="M1809" s="455"/>
      <c r="N1809" s="455"/>
      <c r="O1809" s="455"/>
      <c r="P1809" s="456"/>
      <c r="Q1809" s="63"/>
      <c r="R1809" s="64"/>
    </row>
    <row r="1810" spans="1:18" x14ac:dyDescent="0.2">
      <c r="A1810" s="83"/>
      <c r="B1810" s="499" t="s">
        <v>126</v>
      </c>
      <c r="C1810" s="500"/>
      <c r="D1810" s="500"/>
      <c r="E1810" s="500"/>
      <c r="F1810" s="500"/>
      <c r="G1810" s="500"/>
      <c r="H1810" s="500"/>
      <c r="I1810" s="501"/>
      <c r="J1810" s="505"/>
      <c r="K1810" s="506"/>
      <c r="L1810" s="506"/>
      <c r="M1810" s="506"/>
      <c r="N1810" s="506"/>
      <c r="O1810" s="506"/>
      <c r="P1810" s="507"/>
      <c r="Q1810" s="63"/>
      <c r="R1810" s="64"/>
    </row>
    <row r="1811" spans="1:18" x14ac:dyDescent="0.2">
      <c r="A1811" s="83"/>
      <c r="B1811" s="502"/>
      <c r="C1811" s="503"/>
      <c r="D1811" s="503"/>
      <c r="E1811" s="503"/>
      <c r="F1811" s="503"/>
      <c r="G1811" s="503"/>
      <c r="H1811" s="503"/>
      <c r="I1811" s="504"/>
      <c r="J1811" s="508"/>
      <c r="K1811" s="509"/>
      <c r="L1811" s="509"/>
      <c r="M1811" s="509"/>
      <c r="N1811" s="509"/>
      <c r="O1811" s="509"/>
      <c r="P1811" s="510"/>
      <c r="Q1811" s="63"/>
      <c r="R1811" s="64"/>
    </row>
    <row r="1812" spans="1:18" x14ac:dyDescent="0.2">
      <c r="A1812" s="83"/>
      <c r="B1812" s="514" t="s">
        <v>127</v>
      </c>
      <c r="C1812" s="515"/>
      <c r="D1812" s="515"/>
      <c r="E1812" s="515"/>
      <c r="F1812" s="515"/>
      <c r="G1812" s="515"/>
      <c r="H1812" s="515"/>
      <c r="I1812" s="516"/>
      <c r="J1812" s="508"/>
      <c r="K1812" s="509"/>
      <c r="L1812" s="509"/>
      <c r="M1812" s="509"/>
      <c r="N1812" s="509"/>
      <c r="O1812" s="509"/>
      <c r="P1812" s="510"/>
      <c r="Q1812" s="63"/>
      <c r="R1812" s="64"/>
    </row>
    <row r="1813" spans="1:18" ht="13.5" thickBot="1" x14ac:dyDescent="0.25">
      <c r="A1813" s="83"/>
      <c r="B1813" s="517"/>
      <c r="C1813" s="518"/>
      <c r="D1813" s="518"/>
      <c r="E1813" s="518"/>
      <c r="F1813" s="518"/>
      <c r="G1813" s="518"/>
      <c r="H1813" s="518"/>
      <c r="I1813" s="519"/>
      <c r="J1813" s="511"/>
      <c r="K1813" s="512"/>
      <c r="L1813" s="512"/>
      <c r="M1813" s="512"/>
      <c r="N1813" s="512"/>
      <c r="O1813" s="512"/>
      <c r="P1813" s="513"/>
      <c r="Q1813" s="63"/>
      <c r="R1813" s="64"/>
    </row>
    <row r="1814" spans="1:18" x14ac:dyDescent="0.2">
      <c r="A1814" s="83"/>
      <c r="B1814" s="480" t="s">
        <v>10</v>
      </c>
      <c r="C1814" s="481"/>
      <c r="D1814" s="481"/>
      <c r="E1814" s="481"/>
      <c r="F1814" s="481"/>
      <c r="G1814" s="481"/>
      <c r="H1814" s="481"/>
      <c r="I1814" s="482"/>
      <c r="J1814" s="79">
        <v>1</v>
      </c>
      <c r="K1814" s="483"/>
      <c r="L1814" s="484"/>
      <c r="M1814" s="484"/>
      <c r="N1814" s="484"/>
      <c r="O1814" s="484"/>
      <c r="P1814" s="485"/>
      <c r="Q1814" s="63"/>
      <c r="R1814" s="64"/>
    </row>
    <row r="1815" spans="1:18" x14ac:dyDescent="0.2">
      <c r="A1815" s="83"/>
      <c r="B1815" s="486" t="s">
        <v>276</v>
      </c>
      <c r="C1815" s="487"/>
      <c r="D1815" s="487"/>
      <c r="E1815" s="487"/>
      <c r="F1815" s="487"/>
      <c r="G1815" s="487"/>
      <c r="H1815" s="487"/>
      <c r="I1815" s="488"/>
      <c r="J1815" s="80">
        <v>2</v>
      </c>
      <c r="K1815" s="454"/>
      <c r="L1815" s="455"/>
      <c r="M1815" s="455"/>
      <c r="N1815" s="455"/>
      <c r="O1815" s="455"/>
      <c r="P1815" s="456"/>
      <c r="Q1815" s="63"/>
      <c r="R1815" s="64"/>
    </row>
    <row r="1816" spans="1:18" x14ac:dyDescent="0.2">
      <c r="A1816" s="83"/>
      <c r="B1816" s="489" t="s">
        <v>234</v>
      </c>
      <c r="C1816" s="490"/>
      <c r="D1816" s="490"/>
      <c r="E1816" s="490"/>
      <c r="F1816" s="490"/>
      <c r="G1816" s="490"/>
      <c r="H1816" s="490"/>
      <c r="I1816" s="491"/>
      <c r="J1816" s="80">
        <v>3</v>
      </c>
      <c r="K1816" s="454"/>
      <c r="L1816" s="455"/>
      <c r="M1816" s="455"/>
      <c r="N1816" s="455"/>
      <c r="O1816" s="455"/>
      <c r="P1816" s="456"/>
      <c r="Q1816" s="63"/>
      <c r="R1816" s="64"/>
    </row>
    <row r="1817" spans="1:18" x14ac:dyDescent="0.2">
      <c r="A1817" s="83"/>
      <c r="B1817" s="468"/>
      <c r="C1817" s="468"/>
      <c r="D1817" s="468"/>
      <c r="E1817" s="468"/>
      <c r="F1817" s="468"/>
      <c r="G1817" s="468"/>
      <c r="H1817" s="468"/>
      <c r="I1817" s="468"/>
      <c r="J1817" s="468"/>
      <c r="K1817" s="468"/>
      <c r="L1817" s="468"/>
      <c r="M1817" s="468"/>
      <c r="N1817" s="468"/>
      <c r="O1817" s="468"/>
      <c r="P1817" s="468"/>
      <c r="Q1817" s="63"/>
      <c r="R1817" s="64"/>
    </row>
    <row r="1818" spans="1:18" ht="12" customHeight="1" x14ac:dyDescent="0.2">
      <c r="A1818" s="83"/>
      <c r="B1818" s="469" t="s">
        <v>84</v>
      </c>
      <c r="C1818" s="471" t="str">
        <f>IF(CODE(B1818)=89,"This candidate would like to receive Special","This candidate would not like to receive Special")</f>
        <v>This candidate would like to receive Special</v>
      </c>
      <c r="D1818" s="472"/>
      <c r="E1818" s="472"/>
      <c r="F1818" s="472"/>
      <c r="G1818" s="472"/>
      <c r="H1818" s="472"/>
      <c r="I1818" s="473"/>
      <c r="J1818" s="81"/>
      <c r="K1818" s="474" t="s">
        <v>235</v>
      </c>
      <c r="L1818" s="474"/>
      <c r="M1818" s="475"/>
      <c r="N1818" s="51" t="str">
        <f>IF($P$33&gt;=52,52,"")</f>
        <v/>
      </c>
      <c r="O1818" s="62" t="s">
        <v>52</v>
      </c>
      <c r="P1818" s="51" t="str">
        <f>IF($P$33&gt;=52,$P$33,"")</f>
        <v/>
      </c>
      <c r="Q1818" s="63"/>
      <c r="R1818" s="64"/>
    </row>
    <row r="1819" spans="1:18" ht="12" customHeight="1" x14ac:dyDescent="0.2">
      <c r="A1819" s="83"/>
      <c r="B1819" s="470"/>
      <c r="C1819" s="476" t="str">
        <f>IF(CODE(B1818)=89,"Announcements and Bulletins from RAD Canada","Announcements and Bulletins from RAD Canada")</f>
        <v>Announcements and Bulletins from RAD Canada</v>
      </c>
      <c r="D1819" s="477"/>
      <c r="E1819" s="477"/>
      <c r="F1819" s="477"/>
      <c r="G1819" s="477"/>
      <c r="H1819" s="477"/>
      <c r="I1819" s="478"/>
      <c r="J1819" s="479"/>
      <c r="K1819" s="400"/>
      <c r="L1819" s="400"/>
      <c r="M1819" s="400"/>
      <c r="N1819" s="400"/>
      <c r="O1819" s="400"/>
      <c r="P1819" s="400"/>
      <c r="Q1819" s="63"/>
      <c r="R1819" s="64"/>
    </row>
    <row r="1820" spans="1:18" x14ac:dyDescent="0.2">
      <c r="A1820" s="83"/>
      <c r="B1820" s="81"/>
      <c r="C1820" s="81"/>
      <c r="D1820" s="81"/>
      <c r="E1820" s="81"/>
      <c r="F1820" s="81"/>
      <c r="G1820" s="81"/>
      <c r="H1820" s="81"/>
      <c r="I1820" s="81"/>
      <c r="J1820" s="81"/>
      <c r="K1820" s="81"/>
      <c r="L1820" s="81"/>
      <c r="M1820" s="81"/>
      <c r="N1820" s="81"/>
      <c r="O1820" s="81"/>
      <c r="P1820" s="81"/>
      <c r="Q1820" s="63"/>
      <c r="R1820" s="64"/>
    </row>
    <row r="1821" spans="1:18" x14ac:dyDescent="0.2">
      <c r="A1821" s="83"/>
      <c r="B1821" s="62"/>
      <c r="C1821" s="62"/>
      <c r="D1821" s="62"/>
      <c r="E1821" s="62"/>
      <c r="F1821" s="62"/>
      <c r="G1821" s="62"/>
      <c r="H1821" s="62"/>
      <c r="I1821" s="62"/>
      <c r="J1821" s="62"/>
      <c r="K1821" s="62"/>
      <c r="L1821" s="62"/>
      <c r="M1821" s="62"/>
      <c r="N1821" s="62"/>
      <c r="O1821" s="62"/>
      <c r="P1821" s="62"/>
      <c r="Q1821" s="63"/>
      <c r="R1821" s="64"/>
    </row>
    <row r="1822" spans="1:18" x14ac:dyDescent="0.2">
      <c r="A1822" s="83"/>
      <c r="B1822" s="401" t="s">
        <v>281</v>
      </c>
      <c r="C1822" s="402"/>
      <c r="D1822" s="402"/>
      <c r="E1822" s="402"/>
      <c r="F1822" s="402"/>
      <c r="G1822" s="402"/>
      <c r="H1822" s="62"/>
      <c r="I1822" s="62"/>
      <c r="J1822" s="62"/>
      <c r="K1822" s="62"/>
      <c r="L1822" s="62"/>
      <c r="M1822" s="62"/>
      <c r="N1822" s="62"/>
      <c r="O1822" s="62"/>
      <c r="P1822" s="62"/>
      <c r="Q1822" s="63"/>
      <c r="R1822" s="64"/>
    </row>
    <row r="1823" spans="1:18" ht="15.75" x14ac:dyDescent="0.25">
      <c r="A1823" s="83"/>
      <c r="B1823" s="402"/>
      <c r="C1823" s="402"/>
      <c r="D1823" s="402"/>
      <c r="E1823" s="402"/>
      <c r="F1823" s="402"/>
      <c r="G1823" s="402"/>
      <c r="H1823" s="82"/>
      <c r="I1823" s="403"/>
      <c r="J1823" s="403"/>
      <c r="K1823" s="403"/>
      <c r="L1823" s="403"/>
      <c r="M1823" s="403"/>
      <c r="N1823" s="403"/>
      <c r="O1823" s="403"/>
      <c r="P1823" s="403"/>
      <c r="Q1823" s="63"/>
      <c r="R1823" s="64"/>
    </row>
    <row r="1824" spans="1:18" x14ac:dyDescent="0.2">
      <c r="A1824" s="83"/>
      <c r="B1824" s="400"/>
      <c r="C1824" s="400"/>
      <c r="D1824" s="400"/>
      <c r="E1824" s="400"/>
      <c r="F1824" s="400"/>
      <c r="G1824" s="400"/>
      <c r="H1824" s="400"/>
      <c r="I1824" s="400"/>
      <c r="J1824" s="400"/>
      <c r="K1824" s="400"/>
      <c r="L1824" s="400"/>
      <c r="M1824" s="403"/>
      <c r="N1824" s="403"/>
      <c r="O1824" s="403"/>
      <c r="P1824" s="403"/>
      <c r="Q1824" s="63"/>
      <c r="R1824" s="64"/>
    </row>
    <row r="1825" spans="1:20" x14ac:dyDescent="0.2">
      <c r="A1825" s="83"/>
      <c r="B1825" s="404" t="s">
        <v>260</v>
      </c>
      <c r="C1825" s="404"/>
      <c r="D1825" s="404"/>
      <c r="E1825" s="404"/>
      <c r="F1825" s="400"/>
      <c r="G1825" s="400"/>
      <c r="H1825" s="400"/>
      <c r="I1825" s="400"/>
      <c r="J1825" s="400"/>
      <c r="K1825" s="400"/>
      <c r="L1825" s="400"/>
      <c r="M1825" s="403"/>
      <c r="N1825" s="403"/>
      <c r="O1825" s="403"/>
      <c r="P1825" s="403"/>
      <c r="Q1825" s="63"/>
      <c r="R1825" s="64"/>
    </row>
    <row r="1826" spans="1:20" x14ac:dyDescent="0.2">
      <c r="A1826" s="83"/>
      <c r="B1826" s="69"/>
      <c r="C1826" s="324" t="s">
        <v>75</v>
      </c>
      <c r="D1826" s="408"/>
      <c r="E1826" s="409"/>
      <c r="F1826" s="400"/>
      <c r="G1826" s="400"/>
      <c r="H1826" s="400"/>
      <c r="I1826" s="400"/>
      <c r="J1826" s="400"/>
      <c r="K1826" s="400"/>
      <c r="L1826" s="400"/>
      <c r="M1826" s="70"/>
      <c r="N1826" s="70"/>
      <c r="O1826" s="70"/>
      <c r="P1826" s="70"/>
      <c r="Q1826" s="63"/>
      <c r="R1826" s="64"/>
    </row>
    <row r="1827" spans="1:20" x14ac:dyDescent="0.2">
      <c r="A1827" s="83"/>
      <c r="B1827" s="71"/>
      <c r="C1827" s="324" t="s">
        <v>128</v>
      </c>
      <c r="D1827" s="408"/>
      <c r="E1827" s="409"/>
      <c r="F1827" s="400"/>
      <c r="G1827" s="400"/>
      <c r="H1827" s="400"/>
      <c r="I1827" s="400"/>
      <c r="J1827" s="400"/>
      <c r="K1827" s="400"/>
      <c r="L1827" s="400"/>
      <c r="M1827" s="407" t="s">
        <v>256</v>
      </c>
      <c r="N1827" s="407"/>
      <c r="O1827" s="407"/>
      <c r="P1827" s="407"/>
      <c r="Q1827" s="63"/>
      <c r="R1827" s="64"/>
    </row>
    <row r="1828" spans="1:20" x14ac:dyDescent="0.2">
      <c r="A1828" s="83"/>
      <c r="B1828" s="56"/>
      <c r="C1828" s="324" t="s">
        <v>282</v>
      </c>
      <c r="D1828" s="408"/>
      <c r="E1828" s="409"/>
      <c r="F1828" s="400"/>
      <c r="G1828" s="400"/>
      <c r="H1828" s="400"/>
      <c r="I1828" s="400"/>
      <c r="J1828" s="400"/>
      <c r="K1828" s="400"/>
      <c r="L1828" s="400"/>
      <c r="M1828" s="407"/>
      <c r="N1828" s="407"/>
      <c r="O1828" s="407"/>
      <c r="P1828" s="407"/>
      <c r="Q1828" s="63"/>
      <c r="R1828" s="64"/>
    </row>
    <row r="1829" spans="1:20" x14ac:dyDescent="0.2">
      <c r="A1829" s="83"/>
      <c r="B1829" s="520"/>
      <c r="C1829" s="520"/>
      <c r="D1829" s="520"/>
      <c r="E1829" s="520"/>
      <c r="F1829" s="520"/>
      <c r="G1829" s="520"/>
      <c r="H1829" s="520"/>
      <c r="I1829" s="520"/>
      <c r="J1829" s="520"/>
      <c r="K1829" s="520"/>
      <c r="L1829" s="520"/>
      <c r="M1829" s="520"/>
      <c r="N1829" s="520"/>
      <c r="O1829" s="520"/>
      <c r="P1829" s="520"/>
      <c r="Q1829" s="63"/>
      <c r="R1829" s="64"/>
    </row>
    <row r="1830" spans="1:20" x14ac:dyDescent="0.2">
      <c r="A1830" s="83"/>
      <c r="B1830" s="432" t="s">
        <v>117</v>
      </c>
      <c r="C1830" s="433"/>
      <c r="D1830" s="434"/>
      <c r="E1830" s="442" t="str">
        <f>IF(AND($P$33&gt;=53,NOT(ISBLANK($E$10))),$E$10,"")</f>
        <v/>
      </c>
      <c r="F1830" s="443"/>
      <c r="G1830" s="444"/>
      <c r="H1830" s="414" t="s">
        <v>124</v>
      </c>
      <c r="I1830" s="415"/>
      <c r="J1830" s="442" t="str">
        <f>IF(AND($P$33&gt;=53,NOT(ISBLANK($J$10))),$J$10,"")</f>
        <v/>
      </c>
      <c r="K1830" s="443"/>
      <c r="L1830" s="444"/>
      <c r="M1830" s="414" t="s">
        <v>118</v>
      </c>
      <c r="N1830" s="415"/>
      <c r="O1830" s="430" t="str">
        <f>IF(AND($P$33&gt;=53,NOT(ISBLANK($O$10))),$O$10,"")</f>
        <v/>
      </c>
      <c r="P1830" s="521"/>
      <c r="Q1830" s="63"/>
      <c r="R1830" s="545" t="s">
        <v>307</v>
      </c>
      <c r="S1830" s="546"/>
      <c r="T1830" s="547"/>
    </row>
    <row r="1831" spans="1:20" x14ac:dyDescent="0.2">
      <c r="A1831" s="83"/>
      <c r="B1831" s="432" t="s">
        <v>240</v>
      </c>
      <c r="C1831" s="433"/>
      <c r="D1831" s="434"/>
      <c r="E1831" s="435" t="str">
        <f>IF(NOT($N1853=53),"",IF(ISERROR(LOOKUP(53,'Teacher Summary Sheet'!$M$19:$M$181)),"",IF(VLOOKUP(53,'Teacher Summary Sheet'!$M$19:$R$181,2)=0,"",VLOOKUP(53,'Teacher Summary Sheet'!$M$19:$R$181,2))))</f>
        <v/>
      </c>
      <c r="F1831" s="436"/>
      <c r="G1831" s="437"/>
      <c r="H1831" s="438" t="s">
        <v>119</v>
      </c>
      <c r="I1831" s="439"/>
      <c r="J1831" s="102" t="str">
        <f>IF(NOT($N1853=53),"",IF(ISERROR(LOOKUP(53,'Teacher Summary Sheet'!$M$19:$M$181)),"",IF(VLOOKUP(53,'Teacher Summary Sheet'!$M$19:$R$181,6)=0,"",VLOOKUP(53,'Teacher Summary Sheet'!$M$19:$R$181,6))))</f>
        <v/>
      </c>
      <c r="K1831" s="414" t="s">
        <v>179</v>
      </c>
      <c r="L1831" s="419"/>
      <c r="M1831" s="415"/>
      <c r="N1831" s="412" t="str">
        <f>IF(NOT($N1853=53),"",IF(ISERROR(LOOKUP(53,'Teacher Summary Sheet'!$M$19:$M$181)),"",IF('Teacher Summary Sheet'!$F$31=0,"",'Teacher Summary Sheet'!$F$31)))</f>
        <v/>
      </c>
      <c r="O1831" s="440"/>
      <c r="P1831" s="413"/>
      <c r="Q1831" s="63"/>
      <c r="R1831" s="548"/>
      <c r="S1831" s="549"/>
      <c r="T1831" s="550"/>
    </row>
    <row r="1832" spans="1:20" ht="14.25" x14ac:dyDescent="0.2">
      <c r="A1832" s="83"/>
      <c r="B1832" s="410" t="s">
        <v>241</v>
      </c>
      <c r="C1832" s="420"/>
      <c r="D1832" s="411"/>
      <c r="E1832" s="421" t="str">
        <f>IF(NOT($N1853=53),"",IF(ISERROR(LOOKUP(53,'Teacher Summary Sheet'!$M$19:$M$181)),"",IF(VLOOKUP(53,'Teacher Summary Sheet'!$M$19:$R$181,3)=0,"",VLOOKUP(53,'Teacher Summary Sheet'!$M$19:$R$181,3))))</f>
        <v/>
      </c>
      <c r="F1832" s="422"/>
      <c r="G1832" s="422"/>
      <c r="H1832" s="422"/>
      <c r="I1832" s="423"/>
      <c r="J1832" s="414" t="s">
        <v>124</v>
      </c>
      <c r="K1832" s="415"/>
      <c r="L1832" s="424" t="str">
        <f>IF(NOT($N1853=53),"",IF(ISERROR(LOOKUP(53,'Teacher Summary Sheet'!$M$19:$M$181)),"",IF(VLOOKUP(53,'Teacher Summary Sheet'!$M$19:$R$181,4)=0,"",VLOOKUP(53,'Teacher Summary Sheet'!$M$19:$R$181,4))))</f>
        <v/>
      </c>
      <c r="M1832" s="425"/>
      <c r="N1832" s="425"/>
      <c r="O1832" s="425"/>
      <c r="P1832" s="426"/>
      <c r="Q1832" s="63"/>
      <c r="R1832" s="125" t="str">
        <f>IF(NOT(N1853=53),"",IF(COUNTIF(R1834:R1840,"P")=7,"P","O"))</f>
        <v/>
      </c>
      <c r="S1832" s="110" t="str">
        <f>IF(NOT(N1853=53),"",IF(COUNTIF(R1834:R1840,"P")=7,"Complete","Incomplete"))</f>
        <v/>
      </c>
      <c r="T1832" s="111"/>
    </row>
    <row r="1833" spans="1:20" x14ac:dyDescent="0.2">
      <c r="A1833" s="83"/>
      <c r="B1833" s="410" t="s">
        <v>120</v>
      </c>
      <c r="C1833" s="420"/>
      <c r="D1833" s="411"/>
      <c r="E1833" s="427"/>
      <c r="F1833" s="428"/>
      <c r="G1833" s="428"/>
      <c r="H1833" s="428"/>
      <c r="I1833" s="428"/>
      <c r="J1833" s="429"/>
      <c r="K1833" s="62" t="s">
        <v>121</v>
      </c>
      <c r="L1833" s="427"/>
      <c r="M1833" s="428"/>
      <c r="N1833" s="428"/>
      <c r="O1833" s="428"/>
      <c r="P1833" s="429"/>
      <c r="Q1833" s="63"/>
    </row>
    <row r="1834" spans="1:20" ht="14.25" x14ac:dyDescent="0.2">
      <c r="A1834" s="83"/>
      <c r="B1834" s="410" t="s">
        <v>196</v>
      </c>
      <c r="C1834" s="420"/>
      <c r="D1834" s="411"/>
      <c r="E1834" s="427"/>
      <c r="F1834" s="428"/>
      <c r="G1834" s="428"/>
      <c r="H1834" s="428"/>
      <c r="I1834" s="429"/>
      <c r="J1834" s="73" t="s">
        <v>197</v>
      </c>
      <c r="K1834" s="405"/>
      <c r="L1834" s="406"/>
      <c r="M1834" s="414" t="s">
        <v>212</v>
      </c>
      <c r="N1834" s="415"/>
      <c r="O1834" s="405"/>
      <c r="P1834" s="406"/>
      <c r="Q1834" s="63"/>
      <c r="R1834" s="124" t="str">
        <f>IF(NOT(N1853=53),"",IF(OR(COUNTBLANK(E1832:E1832)=1,COUNTBLANK(L1832:L1832)=1),"O","P"))</f>
        <v/>
      </c>
      <c r="S1834" s="108" t="str">
        <f>IF(NOT(N1853=53),"","Candidate Name")</f>
        <v/>
      </c>
      <c r="T1834" s="64"/>
    </row>
    <row r="1835" spans="1:20" ht="14.25" x14ac:dyDescent="0.2">
      <c r="A1835" s="83"/>
      <c r="B1835" s="410" t="s">
        <v>198</v>
      </c>
      <c r="C1835" s="420"/>
      <c r="D1835" s="411"/>
      <c r="E1835" s="454"/>
      <c r="F1835" s="455"/>
      <c r="G1835" s="455"/>
      <c r="H1835" s="456"/>
      <c r="I1835" s="74" t="s">
        <v>199</v>
      </c>
      <c r="J1835" s="427"/>
      <c r="K1835" s="428"/>
      <c r="L1835" s="428"/>
      <c r="M1835" s="428"/>
      <c r="N1835" s="428"/>
      <c r="O1835" s="428"/>
      <c r="P1835" s="429"/>
      <c r="Q1835" s="63"/>
      <c r="R1835" s="124" t="str">
        <f>IF(NOT(N1853=53),"",IF(COUNTBLANK(E1831:E1831)=1,"O","P"))</f>
        <v/>
      </c>
      <c r="S1835" s="108" t="str">
        <f>IF(NOT(N1853=53),"","Candidate ID")</f>
        <v/>
      </c>
      <c r="T1835" s="64"/>
    </row>
    <row r="1836" spans="1:20" ht="14.25" x14ac:dyDescent="0.2">
      <c r="A1836" s="83"/>
      <c r="B1836" s="410" t="s">
        <v>227</v>
      </c>
      <c r="C1836" s="420"/>
      <c r="D1836" s="411"/>
      <c r="E1836" s="75" t="s">
        <v>218</v>
      </c>
      <c r="F1836" s="405"/>
      <c r="G1836" s="448"/>
      <c r="H1836" s="75" t="s">
        <v>138</v>
      </c>
      <c r="I1836" s="449"/>
      <c r="J1836" s="450"/>
      <c r="K1836" s="76" t="s">
        <v>139</v>
      </c>
      <c r="L1836" s="451"/>
      <c r="M1836" s="452"/>
      <c r="N1836" s="76" t="s">
        <v>228</v>
      </c>
      <c r="O1836" s="453" t="str">
        <f ca="1">IF(OR(ISBLANK(L1836),ISBLANK(I1836),ISBLANK(F1836),COUNTBLANK(J1831:J1831)=1),"",IF(DATEDIF(DATE(L1836,VLOOKUP(I1836,data!$T$2:$U$13,2,FALSE),F1836),IF(AND(TODAY()&lt;data!$AJ$12,TODAY()&gt;data!$AI$12),data!$AI$3,data!$AJ$3),"Y")&gt;=data!$AC$55,YEAR(TODAY())-L1836,data!$AD$3))</f>
        <v/>
      </c>
      <c r="P1836" s="413"/>
      <c r="Q1836" s="63"/>
      <c r="R1836" s="124" t="str">
        <f>IF(NOT(N1853=53),"",IF(OR(ISBLANK(E1833),ISBLANK(L1833),ISBLANK(K1834),ISBLANK(O1834)),"O","P"))</f>
        <v/>
      </c>
      <c r="S1836" s="108" t="str">
        <f>IF(NOT(N1853=53),"","Address")</f>
        <v/>
      </c>
      <c r="T1836" s="64"/>
    </row>
    <row r="1837" spans="1:20" ht="15" thickBot="1" x14ac:dyDescent="0.25">
      <c r="A1837" s="83"/>
      <c r="B1837" s="410" t="s">
        <v>214</v>
      </c>
      <c r="C1837" s="411"/>
      <c r="D1837" s="412" t="str">
        <f>IF(NOT($N1853=53),"",IF(ISERROR(LOOKUP(53,'Teacher Summary Sheet'!$M$19:$M$181)),"",IF(VLOOKUP(53,'Teacher Summary Sheet'!$M$19:$R$181,5)=0,"",VLOOKUP(53,'Teacher Summary Sheet'!$M$19:$R$181,5))))</f>
        <v/>
      </c>
      <c r="E1837" s="413"/>
      <c r="F1837" s="414" t="s">
        <v>319</v>
      </c>
      <c r="G1837" s="415"/>
      <c r="H1837" s="416"/>
      <c r="I1837" s="417"/>
      <c r="J1837" s="418"/>
      <c r="K1837" s="414" t="s">
        <v>320</v>
      </c>
      <c r="L1837" s="419"/>
      <c r="M1837" s="419"/>
      <c r="N1837" s="415"/>
      <c r="O1837" s="405" t="s">
        <v>268</v>
      </c>
      <c r="P1837" s="406"/>
      <c r="Q1837" s="63"/>
      <c r="R1837" s="124" t="str">
        <f>IF(NOT(N1853=53),"",IF(OR(ISBLANK(F1836),ISBLANK(I1836),ISBLANK(L1836)),"O","P"))</f>
        <v/>
      </c>
      <c r="S1837" s="108" t="str">
        <f>IF(NOT(N1853=53),"","Date of Birth")</f>
        <v/>
      </c>
      <c r="T1837" s="64"/>
    </row>
    <row r="1838" spans="1:20" ht="14.25" x14ac:dyDescent="0.2">
      <c r="A1838" s="83"/>
      <c r="B1838" s="522" t="s">
        <v>297</v>
      </c>
      <c r="C1838" s="463"/>
      <c r="D1838" s="463"/>
      <c r="E1838" s="463"/>
      <c r="F1838" s="463"/>
      <c r="G1838" s="463"/>
      <c r="H1838" s="463"/>
      <c r="I1838" s="463"/>
      <c r="J1838" s="463"/>
      <c r="K1838" s="463"/>
      <c r="L1838" s="463"/>
      <c r="M1838" s="463"/>
      <c r="N1838" s="463"/>
      <c r="O1838" s="463"/>
      <c r="P1838" s="464"/>
      <c r="Q1838" s="63"/>
      <c r="R1838" s="124" t="str">
        <f>IF(NOT(N1853=53),"",IF(COUNTBLANK(J1831:J1831)=1,"O","P"))</f>
        <v/>
      </c>
      <c r="S1838" s="112" t="str">
        <f>IF(NOT(N1853=53),"","Exam Level")</f>
        <v/>
      </c>
      <c r="T1838" s="64"/>
    </row>
    <row r="1839" spans="1:20" ht="14.25" x14ac:dyDescent="0.2">
      <c r="A1839" s="83"/>
      <c r="B1839" s="465"/>
      <c r="C1839" s="466"/>
      <c r="D1839" s="466"/>
      <c r="E1839" s="466"/>
      <c r="F1839" s="466"/>
      <c r="G1839" s="466"/>
      <c r="H1839" s="466"/>
      <c r="I1839" s="466"/>
      <c r="J1839" s="466"/>
      <c r="K1839" s="466"/>
      <c r="L1839" s="466"/>
      <c r="M1839" s="466"/>
      <c r="N1839" s="466"/>
      <c r="O1839" s="466"/>
      <c r="P1839" s="467"/>
      <c r="Q1839" s="63"/>
      <c r="R1839" s="124" t="str">
        <f>IF(NOT(N1853=53),"",IF(COUNTBLANK(D1837:D1837)=1,"O","P"))</f>
        <v/>
      </c>
      <c r="S1839" s="109" t="str">
        <f>IF(NOT(N1853=53),"","Gender")</f>
        <v/>
      </c>
      <c r="T1839" s="64"/>
    </row>
    <row r="1840" spans="1:20" ht="14.25" x14ac:dyDescent="0.2">
      <c r="A1840" s="83"/>
      <c r="B1840" s="432" t="s">
        <v>298</v>
      </c>
      <c r="C1840" s="433"/>
      <c r="D1840" s="434"/>
      <c r="E1840" s="405"/>
      <c r="F1840" s="406"/>
      <c r="G1840" s="432" t="s">
        <v>299</v>
      </c>
      <c r="H1840" s="433"/>
      <c r="I1840" s="434"/>
      <c r="J1840" s="405"/>
      <c r="K1840" s="448"/>
      <c r="L1840" s="406"/>
      <c r="M1840" s="414" t="s">
        <v>300</v>
      </c>
      <c r="N1840" s="415"/>
      <c r="O1840" s="457"/>
      <c r="P1840" s="458"/>
      <c r="Q1840" s="63"/>
      <c r="R1840" s="124" t="str">
        <f>IF(NOT(N1853=53),"",IF(ISBLANK(H1837),"O","P"))</f>
        <v/>
      </c>
      <c r="S1840" s="109" t="str">
        <f>IF(NOT(N1853=53),"","Height")</f>
        <v/>
      </c>
      <c r="T1840" s="64"/>
    </row>
    <row r="1841" spans="1:20" x14ac:dyDescent="0.2">
      <c r="A1841" s="83"/>
      <c r="B1841" s="77" t="s">
        <v>153</v>
      </c>
      <c r="C1841" s="405"/>
      <c r="D1841" s="406"/>
      <c r="E1841" s="414" t="s">
        <v>301</v>
      </c>
      <c r="F1841" s="415"/>
      <c r="G1841" s="459"/>
      <c r="H1841" s="460"/>
      <c r="I1841" s="461"/>
      <c r="J1841" s="414" t="s">
        <v>302</v>
      </c>
      <c r="K1841" s="415"/>
      <c r="L1841" s="454"/>
      <c r="M1841" s="455"/>
      <c r="N1841" s="455"/>
      <c r="O1841" s="455"/>
      <c r="P1841" s="456"/>
      <c r="Q1841" s="63"/>
      <c r="R1841" s="64"/>
      <c r="S1841" s="64"/>
      <c r="T1841" s="64"/>
    </row>
    <row r="1842" spans="1:20" x14ac:dyDescent="0.2">
      <c r="A1842" s="83"/>
      <c r="B1842" s="410" t="s">
        <v>116</v>
      </c>
      <c r="C1842" s="420"/>
      <c r="D1842" s="420"/>
      <c r="E1842" s="420"/>
      <c r="F1842" s="420"/>
      <c r="G1842" s="420"/>
      <c r="H1842" s="420"/>
      <c r="I1842" s="420"/>
      <c r="J1842" s="420"/>
      <c r="K1842" s="420"/>
      <c r="L1842" s="420"/>
      <c r="M1842" s="420"/>
      <c r="N1842" s="420"/>
      <c r="O1842" s="420"/>
      <c r="P1842" s="411"/>
      <c r="Q1842" s="63"/>
      <c r="R1842" s="64"/>
      <c r="S1842" s="64"/>
      <c r="T1842" s="64"/>
    </row>
    <row r="1843" spans="1:20" x14ac:dyDescent="0.2">
      <c r="A1843" s="83"/>
      <c r="B1843" s="410" t="s">
        <v>298</v>
      </c>
      <c r="C1843" s="420"/>
      <c r="D1843" s="411"/>
      <c r="E1843" s="405"/>
      <c r="F1843" s="406"/>
      <c r="G1843" s="410" t="s">
        <v>299</v>
      </c>
      <c r="H1843" s="420"/>
      <c r="I1843" s="411"/>
      <c r="J1843" s="454"/>
      <c r="K1843" s="455"/>
      <c r="L1843" s="456"/>
      <c r="M1843" s="414" t="s">
        <v>300</v>
      </c>
      <c r="N1843" s="415"/>
      <c r="O1843" s="457"/>
      <c r="P1843" s="458"/>
      <c r="Q1843" s="63"/>
      <c r="R1843" s="64"/>
    </row>
    <row r="1844" spans="1:20" ht="13.5" thickBot="1" x14ac:dyDescent="0.25">
      <c r="A1844" s="83"/>
      <c r="B1844" s="78" t="s">
        <v>153</v>
      </c>
      <c r="C1844" s="492"/>
      <c r="D1844" s="493"/>
      <c r="E1844" s="494" t="s">
        <v>301</v>
      </c>
      <c r="F1844" s="495"/>
      <c r="G1844" s="496"/>
      <c r="H1844" s="497"/>
      <c r="I1844" s="498"/>
      <c r="J1844" s="414" t="s">
        <v>302</v>
      </c>
      <c r="K1844" s="415"/>
      <c r="L1844" s="454"/>
      <c r="M1844" s="455"/>
      <c r="N1844" s="455"/>
      <c r="O1844" s="455"/>
      <c r="P1844" s="456"/>
      <c r="Q1844" s="63"/>
      <c r="R1844" s="64"/>
    </row>
    <row r="1845" spans="1:20" x14ac:dyDescent="0.2">
      <c r="A1845" s="83"/>
      <c r="B1845" s="499" t="s">
        <v>126</v>
      </c>
      <c r="C1845" s="500"/>
      <c r="D1845" s="500"/>
      <c r="E1845" s="500"/>
      <c r="F1845" s="500"/>
      <c r="G1845" s="500"/>
      <c r="H1845" s="500"/>
      <c r="I1845" s="501"/>
      <c r="J1845" s="505"/>
      <c r="K1845" s="506"/>
      <c r="L1845" s="506"/>
      <c r="M1845" s="506"/>
      <c r="N1845" s="506"/>
      <c r="O1845" s="506"/>
      <c r="P1845" s="507"/>
      <c r="Q1845" s="63"/>
      <c r="R1845" s="64"/>
    </row>
    <row r="1846" spans="1:20" x14ac:dyDescent="0.2">
      <c r="A1846" s="83"/>
      <c r="B1846" s="502"/>
      <c r="C1846" s="503"/>
      <c r="D1846" s="503"/>
      <c r="E1846" s="503"/>
      <c r="F1846" s="503"/>
      <c r="G1846" s="503"/>
      <c r="H1846" s="503"/>
      <c r="I1846" s="504"/>
      <c r="J1846" s="508"/>
      <c r="K1846" s="509"/>
      <c r="L1846" s="509"/>
      <c r="M1846" s="509"/>
      <c r="N1846" s="509"/>
      <c r="O1846" s="509"/>
      <c r="P1846" s="510"/>
      <c r="Q1846" s="63"/>
      <c r="R1846" s="64"/>
    </row>
    <row r="1847" spans="1:20" x14ac:dyDescent="0.2">
      <c r="A1847" s="83"/>
      <c r="B1847" s="514" t="s">
        <v>127</v>
      </c>
      <c r="C1847" s="515"/>
      <c r="D1847" s="515"/>
      <c r="E1847" s="515"/>
      <c r="F1847" s="515"/>
      <c r="G1847" s="515"/>
      <c r="H1847" s="515"/>
      <c r="I1847" s="516"/>
      <c r="J1847" s="508"/>
      <c r="K1847" s="509"/>
      <c r="L1847" s="509"/>
      <c r="M1847" s="509"/>
      <c r="N1847" s="509"/>
      <c r="O1847" s="509"/>
      <c r="P1847" s="510"/>
      <c r="Q1847" s="63"/>
      <c r="R1847" s="64"/>
    </row>
    <row r="1848" spans="1:20" ht="13.5" thickBot="1" x14ac:dyDescent="0.25">
      <c r="A1848" s="83"/>
      <c r="B1848" s="517"/>
      <c r="C1848" s="518"/>
      <c r="D1848" s="518"/>
      <c r="E1848" s="518"/>
      <c r="F1848" s="518"/>
      <c r="G1848" s="518"/>
      <c r="H1848" s="518"/>
      <c r="I1848" s="519"/>
      <c r="J1848" s="511"/>
      <c r="K1848" s="512"/>
      <c r="L1848" s="512"/>
      <c r="M1848" s="512"/>
      <c r="N1848" s="512"/>
      <c r="O1848" s="512"/>
      <c r="P1848" s="513"/>
      <c r="Q1848" s="63"/>
      <c r="R1848" s="64"/>
    </row>
    <row r="1849" spans="1:20" x14ac:dyDescent="0.2">
      <c r="A1849" s="83"/>
      <c r="B1849" s="480" t="s">
        <v>10</v>
      </c>
      <c r="C1849" s="481"/>
      <c r="D1849" s="481"/>
      <c r="E1849" s="481"/>
      <c r="F1849" s="481"/>
      <c r="G1849" s="481"/>
      <c r="H1849" s="481"/>
      <c r="I1849" s="482"/>
      <c r="J1849" s="79">
        <v>1</v>
      </c>
      <c r="K1849" s="483"/>
      <c r="L1849" s="484"/>
      <c r="M1849" s="484"/>
      <c r="N1849" s="484"/>
      <c r="O1849" s="484"/>
      <c r="P1849" s="485"/>
      <c r="Q1849" s="63"/>
      <c r="R1849" s="64"/>
    </row>
    <row r="1850" spans="1:20" x14ac:dyDescent="0.2">
      <c r="A1850" s="83"/>
      <c r="B1850" s="486" t="s">
        <v>276</v>
      </c>
      <c r="C1850" s="487"/>
      <c r="D1850" s="487"/>
      <c r="E1850" s="487"/>
      <c r="F1850" s="487"/>
      <c r="G1850" s="487"/>
      <c r="H1850" s="487"/>
      <c r="I1850" s="488"/>
      <c r="J1850" s="80">
        <v>2</v>
      </c>
      <c r="K1850" s="454"/>
      <c r="L1850" s="455"/>
      <c r="M1850" s="455"/>
      <c r="N1850" s="455"/>
      <c r="O1850" s="455"/>
      <c r="P1850" s="456"/>
      <c r="Q1850" s="63"/>
      <c r="R1850" s="64"/>
    </row>
    <row r="1851" spans="1:20" x14ac:dyDescent="0.2">
      <c r="A1851" s="83"/>
      <c r="B1851" s="489" t="s">
        <v>234</v>
      </c>
      <c r="C1851" s="490"/>
      <c r="D1851" s="490"/>
      <c r="E1851" s="490"/>
      <c r="F1851" s="490"/>
      <c r="G1851" s="490"/>
      <c r="H1851" s="490"/>
      <c r="I1851" s="491"/>
      <c r="J1851" s="80">
        <v>3</v>
      </c>
      <c r="K1851" s="454"/>
      <c r="L1851" s="455"/>
      <c r="M1851" s="455"/>
      <c r="N1851" s="455"/>
      <c r="O1851" s="455"/>
      <c r="P1851" s="456"/>
      <c r="Q1851" s="63"/>
      <c r="R1851" s="64"/>
    </row>
    <row r="1852" spans="1:20" x14ac:dyDescent="0.2">
      <c r="A1852" s="83"/>
      <c r="B1852" s="468"/>
      <c r="C1852" s="468"/>
      <c r="D1852" s="468"/>
      <c r="E1852" s="468"/>
      <c r="F1852" s="468"/>
      <c r="G1852" s="468"/>
      <c r="H1852" s="468"/>
      <c r="I1852" s="468"/>
      <c r="J1852" s="468"/>
      <c r="K1852" s="468"/>
      <c r="L1852" s="468"/>
      <c r="M1852" s="468"/>
      <c r="N1852" s="468"/>
      <c r="O1852" s="468"/>
      <c r="P1852" s="468"/>
      <c r="Q1852" s="63"/>
      <c r="R1852" s="64"/>
    </row>
    <row r="1853" spans="1:20" ht="12" customHeight="1" x14ac:dyDescent="0.2">
      <c r="A1853" s="83"/>
      <c r="B1853" s="469" t="s">
        <v>84</v>
      </c>
      <c r="C1853" s="471" t="str">
        <f>IF(CODE(B1853)=89,"This candidate would like to receive Special","This candidate would not like to receive Special")</f>
        <v>This candidate would like to receive Special</v>
      </c>
      <c r="D1853" s="472"/>
      <c r="E1853" s="472"/>
      <c r="F1853" s="472"/>
      <c r="G1853" s="472"/>
      <c r="H1853" s="472"/>
      <c r="I1853" s="473"/>
      <c r="J1853" s="81"/>
      <c r="K1853" s="474" t="s">
        <v>294</v>
      </c>
      <c r="L1853" s="474"/>
      <c r="M1853" s="475"/>
      <c r="N1853" s="51" t="str">
        <f>IF($P$33&gt;=53,53,"")</f>
        <v/>
      </c>
      <c r="O1853" s="62" t="s">
        <v>52</v>
      </c>
      <c r="P1853" s="51" t="str">
        <f>IF($P$33&gt;=53,$P$33,"")</f>
        <v/>
      </c>
      <c r="Q1853" s="63"/>
      <c r="R1853" s="64"/>
    </row>
    <row r="1854" spans="1:20" ht="12" customHeight="1" x14ac:dyDescent="0.2">
      <c r="A1854" s="83"/>
      <c r="B1854" s="470"/>
      <c r="C1854" s="476" t="str">
        <f>IF(CODE(B1853)=89,"Announcements and Bulletins from RAD Canada","Announcements and Bulletins from RAD Canada")</f>
        <v>Announcements and Bulletins from RAD Canada</v>
      </c>
      <c r="D1854" s="477"/>
      <c r="E1854" s="477"/>
      <c r="F1854" s="477"/>
      <c r="G1854" s="477"/>
      <c r="H1854" s="477"/>
      <c r="I1854" s="478"/>
      <c r="J1854" s="479"/>
      <c r="K1854" s="400"/>
      <c r="L1854" s="400"/>
      <c r="M1854" s="400"/>
      <c r="N1854" s="400"/>
      <c r="O1854" s="400"/>
      <c r="P1854" s="400"/>
      <c r="Q1854" s="63"/>
      <c r="R1854" s="64"/>
    </row>
    <row r="1855" spans="1:20" x14ac:dyDescent="0.2">
      <c r="A1855" s="83"/>
      <c r="B1855" s="81"/>
      <c r="C1855" s="81"/>
      <c r="D1855" s="81"/>
      <c r="E1855" s="81"/>
      <c r="F1855" s="81"/>
      <c r="G1855" s="81"/>
      <c r="H1855" s="81"/>
      <c r="I1855" s="81"/>
      <c r="J1855" s="81"/>
      <c r="K1855" s="81"/>
      <c r="L1855" s="81"/>
      <c r="M1855" s="81"/>
      <c r="N1855" s="81"/>
      <c r="O1855" s="81"/>
      <c r="P1855" s="81"/>
      <c r="Q1855" s="63"/>
      <c r="R1855" s="64"/>
    </row>
    <row r="1856" spans="1:20" x14ac:dyDescent="0.2">
      <c r="A1856" s="83"/>
      <c r="B1856" s="62"/>
      <c r="C1856" s="62"/>
      <c r="D1856" s="62"/>
      <c r="E1856" s="62"/>
      <c r="F1856" s="62"/>
      <c r="G1856" s="62"/>
      <c r="H1856" s="62"/>
      <c r="I1856" s="62"/>
      <c r="J1856" s="62"/>
      <c r="K1856" s="62"/>
      <c r="L1856" s="62"/>
      <c r="M1856" s="62"/>
      <c r="N1856" s="62"/>
      <c r="O1856" s="62"/>
      <c r="P1856" s="62"/>
      <c r="Q1856" s="63"/>
      <c r="R1856" s="64"/>
    </row>
    <row r="1857" spans="1:20" x14ac:dyDescent="0.2">
      <c r="A1857" s="83"/>
      <c r="B1857" s="401" t="s">
        <v>295</v>
      </c>
      <c r="C1857" s="402"/>
      <c r="D1857" s="402"/>
      <c r="E1857" s="402"/>
      <c r="F1857" s="402"/>
      <c r="G1857" s="402"/>
      <c r="H1857" s="62"/>
      <c r="I1857" s="62"/>
      <c r="J1857" s="62"/>
      <c r="K1857" s="62"/>
      <c r="L1857" s="62"/>
      <c r="M1857" s="62"/>
      <c r="N1857" s="62"/>
      <c r="O1857" s="62"/>
      <c r="P1857" s="62"/>
      <c r="Q1857" s="63"/>
      <c r="R1857" s="64"/>
    </row>
    <row r="1858" spans="1:20" ht="15.75" x14ac:dyDescent="0.25">
      <c r="A1858" s="83"/>
      <c r="B1858" s="402"/>
      <c r="C1858" s="402"/>
      <c r="D1858" s="402"/>
      <c r="E1858" s="402"/>
      <c r="F1858" s="402"/>
      <c r="G1858" s="402"/>
      <c r="H1858" s="82"/>
      <c r="I1858" s="403"/>
      <c r="J1858" s="403"/>
      <c r="K1858" s="403"/>
      <c r="L1858" s="403"/>
      <c r="M1858" s="403"/>
      <c r="N1858" s="403"/>
      <c r="O1858" s="403"/>
      <c r="P1858" s="403"/>
      <c r="Q1858" s="63"/>
      <c r="R1858" s="64"/>
    </row>
    <row r="1859" spans="1:20" x14ac:dyDescent="0.2">
      <c r="A1859" s="83"/>
      <c r="B1859" s="400"/>
      <c r="C1859" s="400"/>
      <c r="D1859" s="400"/>
      <c r="E1859" s="400"/>
      <c r="F1859" s="400"/>
      <c r="G1859" s="400"/>
      <c r="H1859" s="400"/>
      <c r="I1859" s="400"/>
      <c r="J1859" s="400"/>
      <c r="K1859" s="400"/>
      <c r="L1859" s="400"/>
      <c r="M1859" s="403"/>
      <c r="N1859" s="403"/>
      <c r="O1859" s="403"/>
      <c r="P1859" s="403"/>
      <c r="Q1859" s="63"/>
      <c r="R1859" s="64"/>
    </row>
    <row r="1860" spans="1:20" x14ac:dyDescent="0.2">
      <c r="A1860" s="83"/>
      <c r="B1860" s="404" t="s">
        <v>260</v>
      </c>
      <c r="C1860" s="404"/>
      <c r="D1860" s="404"/>
      <c r="E1860" s="404"/>
      <c r="F1860" s="400"/>
      <c r="G1860" s="400"/>
      <c r="H1860" s="400"/>
      <c r="I1860" s="400"/>
      <c r="J1860" s="400"/>
      <c r="K1860" s="400"/>
      <c r="L1860" s="400"/>
      <c r="M1860" s="403"/>
      <c r="N1860" s="403"/>
      <c r="O1860" s="403"/>
      <c r="P1860" s="403"/>
      <c r="Q1860" s="63"/>
      <c r="R1860" s="64"/>
    </row>
    <row r="1861" spans="1:20" x14ac:dyDescent="0.2">
      <c r="A1861" s="83"/>
      <c r="B1861" s="69"/>
      <c r="C1861" s="324" t="s">
        <v>75</v>
      </c>
      <c r="D1861" s="408"/>
      <c r="E1861" s="409"/>
      <c r="F1861" s="400"/>
      <c r="G1861" s="400"/>
      <c r="H1861" s="400"/>
      <c r="I1861" s="400"/>
      <c r="J1861" s="400"/>
      <c r="K1861" s="400"/>
      <c r="L1861" s="400"/>
      <c r="M1861" s="70"/>
      <c r="N1861" s="70"/>
      <c r="O1861" s="70"/>
      <c r="P1861" s="70"/>
      <c r="Q1861" s="63"/>
      <c r="R1861" s="64"/>
    </row>
    <row r="1862" spans="1:20" x14ac:dyDescent="0.2">
      <c r="A1862" s="83"/>
      <c r="B1862" s="71"/>
      <c r="C1862" s="324" t="s">
        <v>128</v>
      </c>
      <c r="D1862" s="408"/>
      <c r="E1862" s="409"/>
      <c r="F1862" s="400"/>
      <c r="G1862" s="400"/>
      <c r="H1862" s="400"/>
      <c r="I1862" s="400"/>
      <c r="J1862" s="400"/>
      <c r="K1862" s="400"/>
      <c r="L1862" s="400"/>
      <c r="M1862" s="407" t="s">
        <v>256</v>
      </c>
      <c r="N1862" s="407"/>
      <c r="O1862" s="407"/>
      <c r="P1862" s="407"/>
      <c r="Q1862" s="63"/>
      <c r="R1862" s="64"/>
    </row>
    <row r="1863" spans="1:20" x14ac:dyDescent="0.2">
      <c r="A1863" s="83"/>
      <c r="B1863" s="56"/>
      <c r="C1863" s="324" t="s">
        <v>193</v>
      </c>
      <c r="D1863" s="408"/>
      <c r="E1863" s="409"/>
      <c r="F1863" s="400"/>
      <c r="G1863" s="400"/>
      <c r="H1863" s="400"/>
      <c r="I1863" s="400"/>
      <c r="J1863" s="400"/>
      <c r="K1863" s="400"/>
      <c r="L1863" s="400"/>
      <c r="M1863" s="407"/>
      <c r="N1863" s="407"/>
      <c r="O1863" s="407"/>
      <c r="P1863" s="407"/>
      <c r="Q1863" s="63"/>
      <c r="R1863" s="64"/>
    </row>
    <row r="1864" spans="1:20" x14ac:dyDescent="0.2">
      <c r="A1864" s="83"/>
      <c r="B1864" s="520"/>
      <c r="C1864" s="520"/>
      <c r="D1864" s="520"/>
      <c r="E1864" s="520"/>
      <c r="F1864" s="520"/>
      <c r="G1864" s="520"/>
      <c r="H1864" s="520"/>
      <c r="I1864" s="520"/>
      <c r="J1864" s="520"/>
      <c r="K1864" s="520"/>
      <c r="L1864" s="520"/>
      <c r="M1864" s="520"/>
      <c r="N1864" s="520"/>
      <c r="O1864" s="520"/>
      <c r="P1864" s="520"/>
      <c r="Q1864" s="63"/>
      <c r="R1864" s="64"/>
    </row>
    <row r="1865" spans="1:20" x14ac:dyDescent="0.2">
      <c r="A1865" s="83"/>
      <c r="B1865" s="432" t="s">
        <v>117</v>
      </c>
      <c r="C1865" s="433"/>
      <c r="D1865" s="434"/>
      <c r="E1865" s="442" t="str">
        <f>IF(AND($P$33&gt;=54,NOT(ISBLANK($E$10))),$E$10,"")</f>
        <v/>
      </c>
      <c r="F1865" s="443"/>
      <c r="G1865" s="444"/>
      <c r="H1865" s="414" t="s">
        <v>124</v>
      </c>
      <c r="I1865" s="415"/>
      <c r="J1865" s="442" t="str">
        <f>IF(AND($P$33&gt;=54,NOT(ISBLANK($J$10))),$J$10,"")</f>
        <v/>
      </c>
      <c r="K1865" s="443"/>
      <c r="L1865" s="444"/>
      <c r="M1865" s="414" t="s">
        <v>118</v>
      </c>
      <c r="N1865" s="415"/>
      <c r="O1865" s="430" t="str">
        <f>IF(AND($P$33&gt;=54,NOT(ISBLANK($O$10))),$O$10,"")</f>
        <v/>
      </c>
      <c r="P1865" s="521"/>
      <c r="Q1865" s="63"/>
      <c r="R1865" s="545" t="s">
        <v>307</v>
      </c>
      <c r="S1865" s="546"/>
      <c r="T1865" s="547"/>
    </row>
    <row r="1866" spans="1:20" x14ac:dyDescent="0.2">
      <c r="A1866" s="83"/>
      <c r="B1866" s="432" t="s">
        <v>240</v>
      </c>
      <c r="C1866" s="433"/>
      <c r="D1866" s="434"/>
      <c r="E1866" s="435" t="str">
        <f>IF(NOT($N1888=54),"",IF(ISERROR(LOOKUP(54,'Teacher Summary Sheet'!$M$19:$M$181)),"",IF(VLOOKUP(54,'Teacher Summary Sheet'!$M$19:$R$181,2)=0,"",VLOOKUP(54,'Teacher Summary Sheet'!$M$19:$R$181,2))))</f>
        <v/>
      </c>
      <c r="F1866" s="436"/>
      <c r="G1866" s="437"/>
      <c r="H1866" s="438" t="s">
        <v>119</v>
      </c>
      <c r="I1866" s="439"/>
      <c r="J1866" s="102" t="str">
        <f>IF(NOT($N1888=54),"",IF(ISERROR(LOOKUP(54,'Teacher Summary Sheet'!$M$19:$M$181)),"",IF(VLOOKUP(54,'Teacher Summary Sheet'!$M$19:$R$181,6)=0,"",VLOOKUP(54,'Teacher Summary Sheet'!$M$19:$R$181,6))))</f>
        <v/>
      </c>
      <c r="K1866" s="414" t="s">
        <v>179</v>
      </c>
      <c r="L1866" s="419"/>
      <c r="M1866" s="415"/>
      <c r="N1866" s="412" t="str">
        <f>IF(NOT($N1888=54),"",IF(ISERROR(LOOKUP(54,'Teacher Summary Sheet'!$M$19:$M$181)),"",IF('Teacher Summary Sheet'!$F$31=0,"",'Teacher Summary Sheet'!$F$31)))</f>
        <v/>
      </c>
      <c r="O1866" s="440"/>
      <c r="P1866" s="413"/>
      <c r="Q1866" s="63"/>
      <c r="R1866" s="548"/>
      <c r="S1866" s="549"/>
      <c r="T1866" s="550"/>
    </row>
    <row r="1867" spans="1:20" ht="14.25" x14ac:dyDescent="0.2">
      <c r="A1867" s="83"/>
      <c r="B1867" s="410" t="s">
        <v>241</v>
      </c>
      <c r="C1867" s="420"/>
      <c r="D1867" s="411"/>
      <c r="E1867" s="421" t="str">
        <f>IF(NOT($N1888=54),"",IF(ISERROR(LOOKUP(54,'Teacher Summary Sheet'!$M$19:$M$181)),"",IF(VLOOKUP(54,'Teacher Summary Sheet'!$M$19:$R$181,3)=0,"",VLOOKUP(54,'Teacher Summary Sheet'!$M$19:$R$181,3))))</f>
        <v/>
      </c>
      <c r="F1867" s="422"/>
      <c r="G1867" s="422"/>
      <c r="H1867" s="422"/>
      <c r="I1867" s="423"/>
      <c r="J1867" s="414" t="s">
        <v>124</v>
      </c>
      <c r="K1867" s="415"/>
      <c r="L1867" s="424" t="str">
        <f>IF(NOT($N1888=54),"",IF(ISERROR(LOOKUP(54,'Teacher Summary Sheet'!$M$19:$M$181)),"",IF(VLOOKUP(54,'Teacher Summary Sheet'!$M$19:$R$181,4)=0,"",VLOOKUP(54,'Teacher Summary Sheet'!$M$19:$R$181,4))))</f>
        <v/>
      </c>
      <c r="M1867" s="425"/>
      <c r="N1867" s="425"/>
      <c r="O1867" s="425"/>
      <c r="P1867" s="426"/>
      <c r="Q1867" s="63"/>
      <c r="R1867" s="125" t="str">
        <f>IF(NOT(N1888=54),"",IF(COUNTIF(R1869:R1875,"P")=7,"P","O"))</f>
        <v/>
      </c>
      <c r="S1867" s="110" t="str">
        <f>IF(NOT(N1888=54),"",IF(COUNTIF(R1869:R1875,"P")=7,"Complete","Incomplete"))</f>
        <v/>
      </c>
      <c r="T1867" s="111"/>
    </row>
    <row r="1868" spans="1:20" x14ac:dyDescent="0.2">
      <c r="A1868" s="83"/>
      <c r="B1868" s="410" t="s">
        <v>120</v>
      </c>
      <c r="C1868" s="420"/>
      <c r="D1868" s="411"/>
      <c r="E1868" s="427"/>
      <c r="F1868" s="428"/>
      <c r="G1868" s="428"/>
      <c r="H1868" s="428"/>
      <c r="I1868" s="428"/>
      <c r="J1868" s="429"/>
      <c r="K1868" s="62" t="s">
        <v>121</v>
      </c>
      <c r="L1868" s="427"/>
      <c r="M1868" s="428"/>
      <c r="N1868" s="428"/>
      <c r="O1868" s="428"/>
      <c r="P1868" s="429"/>
      <c r="Q1868" s="63"/>
    </row>
    <row r="1869" spans="1:20" ht="14.25" x14ac:dyDescent="0.2">
      <c r="A1869" s="83"/>
      <c r="B1869" s="410" t="s">
        <v>196</v>
      </c>
      <c r="C1869" s="420"/>
      <c r="D1869" s="411"/>
      <c r="E1869" s="427"/>
      <c r="F1869" s="428"/>
      <c r="G1869" s="428"/>
      <c r="H1869" s="428"/>
      <c r="I1869" s="429"/>
      <c r="J1869" s="73" t="s">
        <v>197</v>
      </c>
      <c r="K1869" s="405"/>
      <c r="L1869" s="406"/>
      <c r="M1869" s="414" t="s">
        <v>212</v>
      </c>
      <c r="N1869" s="415"/>
      <c r="O1869" s="405"/>
      <c r="P1869" s="406"/>
      <c r="Q1869" s="63"/>
      <c r="R1869" s="124" t="str">
        <f>IF(NOT(N1888=54),"",IF(OR(COUNTBLANK(E1867:E1867)=1,COUNTBLANK(L1867:L1867)=1),"O","P"))</f>
        <v/>
      </c>
      <c r="S1869" s="108" t="str">
        <f>IF(NOT(N1888=54),"","Candidate Name")</f>
        <v/>
      </c>
      <c r="T1869" s="64"/>
    </row>
    <row r="1870" spans="1:20" ht="14.25" x14ac:dyDescent="0.2">
      <c r="A1870" s="83"/>
      <c r="B1870" s="410" t="s">
        <v>198</v>
      </c>
      <c r="C1870" s="420"/>
      <c r="D1870" s="411"/>
      <c r="E1870" s="454"/>
      <c r="F1870" s="455"/>
      <c r="G1870" s="455"/>
      <c r="H1870" s="456"/>
      <c r="I1870" s="74" t="s">
        <v>199</v>
      </c>
      <c r="J1870" s="427"/>
      <c r="K1870" s="428"/>
      <c r="L1870" s="428"/>
      <c r="M1870" s="428"/>
      <c r="N1870" s="428"/>
      <c r="O1870" s="428"/>
      <c r="P1870" s="429"/>
      <c r="Q1870" s="63"/>
      <c r="R1870" s="124" t="str">
        <f>IF(NOT(N1888=54),"",IF(COUNTBLANK(E1866:E1866)=1,"O","P"))</f>
        <v/>
      </c>
      <c r="S1870" s="108" t="str">
        <f>IF(NOT(N1888=54),"","Candidate ID")</f>
        <v/>
      </c>
      <c r="T1870" s="64"/>
    </row>
    <row r="1871" spans="1:20" ht="14.25" x14ac:dyDescent="0.2">
      <c r="A1871" s="83"/>
      <c r="B1871" s="410" t="s">
        <v>227</v>
      </c>
      <c r="C1871" s="420"/>
      <c r="D1871" s="411"/>
      <c r="E1871" s="75" t="s">
        <v>218</v>
      </c>
      <c r="F1871" s="405"/>
      <c r="G1871" s="448"/>
      <c r="H1871" s="75" t="s">
        <v>138</v>
      </c>
      <c r="I1871" s="449"/>
      <c r="J1871" s="450"/>
      <c r="K1871" s="76" t="s">
        <v>139</v>
      </c>
      <c r="L1871" s="451"/>
      <c r="M1871" s="452"/>
      <c r="N1871" s="76" t="s">
        <v>228</v>
      </c>
      <c r="O1871" s="453" t="str">
        <f ca="1">IF(OR(ISBLANK(L1871),ISBLANK(I1871),ISBLANK(F1871),COUNTBLANK(J1866:J1866)=1),"",IF(DATEDIF(DATE(L1871,VLOOKUP(I1871,data!$T$2:$U$13,2,FALSE),F1871),IF(AND(TODAY()&lt;data!$AJ$12,TODAY()&gt;data!$AI$12),data!$AI$3,data!$AJ$3),"Y")&gt;=data!$AC$56,YEAR(TODAY())-L1871,data!$AD$3))</f>
        <v/>
      </c>
      <c r="P1871" s="413"/>
      <c r="Q1871" s="63"/>
      <c r="R1871" s="124" t="str">
        <f>IF(NOT(N1888=54),"",IF(OR(ISBLANK(E1868),ISBLANK(L1868),ISBLANK(K1869),ISBLANK(O1869)),"O","P"))</f>
        <v/>
      </c>
      <c r="S1871" s="108" t="str">
        <f>IF(NOT(N1888=54),"","Address")</f>
        <v/>
      </c>
      <c r="T1871" s="64"/>
    </row>
    <row r="1872" spans="1:20" ht="15" thickBot="1" x14ac:dyDescent="0.25">
      <c r="A1872" s="83"/>
      <c r="B1872" s="410" t="s">
        <v>214</v>
      </c>
      <c r="C1872" s="411"/>
      <c r="D1872" s="412" t="str">
        <f>IF(NOT($N1888=54),"",IF(ISERROR(LOOKUP(54,'Teacher Summary Sheet'!$M$19:$M$181)),"",IF(VLOOKUP(54,'Teacher Summary Sheet'!$M$19:$R$181,5)=0,"",VLOOKUP(54,'Teacher Summary Sheet'!$M$19:$R$181,5))))</f>
        <v/>
      </c>
      <c r="E1872" s="413"/>
      <c r="F1872" s="414" t="s">
        <v>319</v>
      </c>
      <c r="G1872" s="415"/>
      <c r="H1872" s="416"/>
      <c r="I1872" s="417"/>
      <c r="J1872" s="418"/>
      <c r="K1872" s="414" t="s">
        <v>320</v>
      </c>
      <c r="L1872" s="419"/>
      <c r="M1872" s="419"/>
      <c r="N1872" s="415"/>
      <c r="O1872" s="405" t="s">
        <v>268</v>
      </c>
      <c r="P1872" s="406"/>
      <c r="Q1872" s="63"/>
      <c r="R1872" s="124" t="str">
        <f>IF(NOT(N1888=54),"",IF(OR(ISBLANK(F1871),ISBLANK(I1871),ISBLANK(L1871)),"O","P"))</f>
        <v/>
      </c>
      <c r="S1872" s="108" t="str">
        <f>IF(NOT(N1888=54),"","Date of Birth")</f>
        <v/>
      </c>
      <c r="T1872" s="64"/>
    </row>
    <row r="1873" spans="1:20" ht="14.25" x14ac:dyDescent="0.2">
      <c r="A1873" s="83"/>
      <c r="B1873" s="522" t="s">
        <v>297</v>
      </c>
      <c r="C1873" s="463"/>
      <c r="D1873" s="463"/>
      <c r="E1873" s="463"/>
      <c r="F1873" s="463"/>
      <c r="G1873" s="463"/>
      <c r="H1873" s="463"/>
      <c r="I1873" s="463"/>
      <c r="J1873" s="463"/>
      <c r="K1873" s="463"/>
      <c r="L1873" s="463"/>
      <c r="M1873" s="463"/>
      <c r="N1873" s="463"/>
      <c r="O1873" s="463"/>
      <c r="P1873" s="464"/>
      <c r="Q1873" s="63"/>
      <c r="R1873" s="124" t="str">
        <f>IF(NOT(N1888=54),"",IF(COUNTBLANK(J1866:J1866)=1,"O","P"))</f>
        <v/>
      </c>
      <c r="S1873" s="112" t="str">
        <f>IF(NOT(N1888=54),"","Exam Level")</f>
        <v/>
      </c>
      <c r="T1873" s="64"/>
    </row>
    <row r="1874" spans="1:20" ht="14.25" x14ac:dyDescent="0.2">
      <c r="A1874" s="83"/>
      <c r="B1874" s="465"/>
      <c r="C1874" s="466"/>
      <c r="D1874" s="466"/>
      <c r="E1874" s="466"/>
      <c r="F1874" s="466"/>
      <c r="G1874" s="466"/>
      <c r="H1874" s="466"/>
      <c r="I1874" s="466"/>
      <c r="J1874" s="466"/>
      <c r="K1874" s="466"/>
      <c r="L1874" s="466"/>
      <c r="M1874" s="466"/>
      <c r="N1874" s="466"/>
      <c r="O1874" s="466"/>
      <c r="P1874" s="467"/>
      <c r="Q1874" s="63"/>
      <c r="R1874" s="124" t="str">
        <f>IF(NOT(N1888=54),"",IF(COUNTBLANK(D1872:D1872)=1,"O","P"))</f>
        <v/>
      </c>
      <c r="S1874" s="109" t="str">
        <f>IF(NOT(N1888=54),"","Gender")</f>
        <v/>
      </c>
      <c r="T1874" s="64"/>
    </row>
    <row r="1875" spans="1:20" ht="14.25" x14ac:dyDescent="0.2">
      <c r="A1875" s="83"/>
      <c r="B1875" s="432" t="s">
        <v>298</v>
      </c>
      <c r="C1875" s="433"/>
      <c r="D1875" s="434"/>
      <c r="E1875" s="405"/>
      <c r="F1875" s="406"/>
      <c r="G1875" s="432" t="s">
        <v>299</v>
      </c>
      <c r="H1875" s="433"/>
      <c r="I1875" s="434"/>
      <c r="J1875" s="405"/>
      <c r="K1875" s="448"/>
      <c r="L1875" s="406"/>
      <c r="M1875" s="414" t="s">
        <v>300</v>
      </c>
      <c r="N1875" s="415"/>
      <c r="O1875" s="457"/>
      <c r="P1875" s="458"/>
      <c r="Q1875" s="63"/>
      <c r="R1875" s="124" t="str">
        <f>IF(NOT(N1888=54),"",IF(ISBLANK(H1872),"O","P"))</f>
        <v/>
      </c>
      <c r="S1875" s="109" t="str">
        <f>IF(NOT(N1888=54),"","Height")</f>
        <v/>
      </c>
      <c r="T1875" s="64"/>
    </row>
    <row r="1876" spans="1:20" x14ac:dyDescent="0.2">
      <c r="A1876" s="83"/>
      <c r="B1876" s="77" t="s">
        <v>153</v>
      </c>
      <c r="C1876" s="405"/>
      <c r="D1876" s="406"/>
      <c r="E1876" s="414" t="s">
        <v>301</v>
      </c>
      <c r="F1876" s="415"/>
      <c r="G1876" s="459"/>
      <c r="H1876" s="460"/>
      <c r="I1876" s="461"/>
      <c r="J1876" s="414" t="s">
        <v>302</v>
      </c>
      <c r="K1876" s="415"/>
      <c r="L1876" s="454"/>
      <c r="M1876" s="455"/>
      <c r="N1876" s="455"/>
      <c r="O1876" s="455"/>
      <c r="P1876" s="456"/>
      <c r="Q1876" s="63"/>
      <c r="R1876" s="64"/>
      <c r="S1876" s="64"/>
      <c r="T1876" s="64"/>
    </row>
    <row r="1877" spans="1:20" x14ac:dyDescent="0.2">
      <c r="A1877" s="83"/>
      <c r="B1877" s="410" t="s">
        <v>116</v>
      </c>
      <c r="C1877" s="420"/>
      <c r="D1877" s="420"/>
      <c r="E1877" s="420"/>
      <c r="F1877" s="420"/>
      <c r="G1877" s="420"/>
      <c r="H1877" s="420"/>
      <c r="I1877" s="420"/>
      <c r="J1877" s="420"/>
      <c r="K1877" s="420"/>
      <c r="L1877" s="420"/>
      <c r="M1877" s="420"/>
      <c r="N1877" s="420"/>
      <c r="O1877" s="420"/>
      <c r="P1877" s="411"/>
      <c r="Q1877" s="63"/>
      <c r="R1877" s="64"/>
      <c r="S1877" s="64"/>
      <c r="T1877" s="64"/>
    </row>
    <row r="1878" spans="1:20" x14ac:dyDescent="0.2">
      <c r="A1878" s="83"/>
      <c r="B1878" s="410" t="s">
        <v>298</v>
      </c>
      <c r="C1878" s="420"/>
      <c r="D1878" s="411"/>
      <c r="E1878" s="405"/>
      <c r="F1878" s="406"/>
      <c r="G1878" s="410" t="s">
        <v>299</v>
      </c>
      <c r="H1878" s="420"/>
      <c r="I1878" s="411"/>
      <c r="J1878" s="454"/>
      <c r="K1878" s="455"/>
      <c r="L1878" s="456"/>
      <c r="M1878" s="414" t="s">
        <v>300</v>
      </c>
      <c r="N1878" s="415"/>
      <c r="O1878" s="457"/>
      <c r="P1878" s="458"/>
      <c r="Q1878" s="63"/>
      <c r="R1878" s="64"/>
    </row>
    <row r="1879" spans="1:20" ht="13.5" thickBot="1" x14ac:dyDescent="0.25">
      <c r="A1879" s="83"/>
      <c r="B1879" s="78" t="s">
        <v>153</v>
      </c>
      <c r="C1879" s="492"/>
      <c r="D1879" s="493"/>
      <c r="E1879" s="494" t="s">
        <v>301</v>
      </c>
      <c r="F1879" s="495"/>
      <c r="G1879" s="496"/>
      <c r="H1879" s="497"/>
      <c r="I1879" s="498"/>
      <c r="J1879" s="414" t="s">
        <v>302</v>
      </c>
      <c r="K1879" s="415"/>
      <c r="L1879" s="454"/>
      <c r="M1879" s="455"/>
      <c r="N1879" s="455"/>
      <c r="O1879" s="455"/>
      <c r="P1879" s="456"/>
      <c r="Q1879" s="63"/>
      <c r="R1879" s="64"/>
    </row>
    <row r="1880" spans="1:20" x14ac:dyDescent="0.2">
      <c r="A1880" s="83"/>
      <c r="B1880" s="499" t="s">
        <v>126</v>
      </c>
      <c r="C1880" s="500"/>
      <c r="D1880" s="500"/>
      <c r="E1880" s="500"/>
      <c r="F1880" s="500"/>
      <c r="G1880" s="500"/>
      <c r="H1880" s="500"/>
      <c r="I1880" s="501"/>
      <c r="J1880" s="505"/>
      <c r="K1880" s="506"/>
      <c r="L1880" s="506"/>
      <c r="M1880" s="506"/>
      <c r="N1880" s="506"/>
      <c r="O1880" s="506"/>
      <c r="P1880" s="507"/>
      <c r="Q1880" s="63"/>
      <c r="R1880" s="64"/>
    </row>
    <row r="1881" spans="1:20" x14ac:dyDescent="0.2">
      <c r="A1881" s="83"/>
      <c r="B1881" s="502"/>
      <c r="C1881" s="503"/>
      <c r="D1881" s="503"/>
      <c r="E1881" s="503"/>
      <c r="F1881" s="503"/>
      <c r="G1881" s="503"/>
      <c r="H1881" s="503"/>
      <c r="I1881" s="504"/>
      <c r="J1881" s="508"/>
      <c r="K1881" s="509"/>
      <c r="L1881" s="509"/>
      <c r="M1881" s="509"/>
      <c r="N1881" s="509"/>
      <c r="O1881" s="509"/>
      <c r="P1881" s="510"/>
      <c r="Q1881" s="63"/>
      <c r="R1881" s="64"/>
    </row>
    <row r="1882" spans="1:20" x14ac:dyDescent="0.2">
      <c r="A1882" s="83"/>
      <c r="B1882" s="514" t="s">
        <v>127</v>
      </c>
      <c r="C1882" s="515"/>
      <c r="D1882" s="515"/>
      <c r="E1882" s="515"/>
      <c r="F1882" s="515"/>
      <c r="G1882" s="515"/>
      <c r="H1882" s="515"/>
      <c r="I1882" s="516"/>
      <c r="J1882" s="508"/>
      <c r="K1882" s="509"/>
      <c r="L1882" s="509"/>
      <c r="M1882" s="509"/>
      <c r="N1882" s="509"/>
      <c r="O1882" s="509"/>
      <c r="P1882" s="510"/>
      <c r="Q1882" s="63"/>
      <c r="R1882" s="64"/>
    </row>
    <row r="1883" spans="1:20" ht="13.5" thickBot="1" x14ac:dyDescent="0.25">
      <c r="A1883" s="83"/>
      <c r="B1883" s="517"/>
      <c r="C1883" s="518"/>
      <c r="D1883" s="518"/>
      <c r="E1883" s="518"/>
      <c r="F1883" s="518"/>
      <c r="G1883" s="518"/>
      <c r="H1883" s="518"/>
      <c r="I1883" s="519"/>
      <c r="J1883" s="511"/>
      <c r="K1883" s="512"/>
      <c r="L1883" s="512"/>
      <c r="M1883" s="512"/>
      <c r="N1883" s="512"/>
      <c r="O1883" s="512"/>
      <c r="P1883" s="513"/>
      <c r="Q1883" s="63"/>
      <c r="R1883" s="64"/>
    </row>
    <row r="1884" spans="1:20" x14ac:dyDescent="0.2">
      <c r="A1884" s="83"/>
      <c r="B1884" s="480" t="s">
        <v>10</v>
      </c>
      <c r="C1884" s="481"/>
      <c r="D1884" s="481"/>
      <c r="E1884" s="481"/>
      <c r="F1884" s="481"/>
      <c r="G1884" s="481"/>
      <c r="H1884" s="481"/>
      <c r="I1884" s="482"/>
      <c r="J1884" s="79">
        <v>1</v>
      </c>
      <c r="K1884" s="483"/>
      <c r="L1884" s="484"/>
      <c r="M1884" s="484"/>
      <c r="N1884" s="484"/>
      <c r="O1884" s="484"/>
      <c r="P1884" s="485"/>
      <c r="Q1884" s="63"/>
      <c r="R1884" s="64"/>
    </row>
    <row r="1885" spans="1:20" x14ac:dyDescent="0.2">
      <c r="A1885" s="83"/>
      <c r="B1885" s="486" t="s">
        <v>276</v>
      </c>
      <c r="C1885" s="487"/>
      <c r="D1885" s="487"/>
      <c r="E1885" s="487"/>
      <c r="F1885" s="487"/>
      <c r="G1885" s="487"/>
      <c r="H1885" s="487"/>
      <c r="I1885" s="488"/>
      <c r="J1885" s="80">
        <v>2</v>
      </c>
      <c r="K1885" s="454"/>
      <c r="L1885" s="455"/>
      <c r="M1885" s="455"/>
      <c r="N1885" s="455"/>
      <c r="O1885" s="455"/>
      <c r="P1885" s="456"/>
      <c r="Q1885" s="63"/>
      <c r="R1885" s="64"/>
    </row>
    <row r="1886" spans="1:20" x14ac:dyDescent="0.2">
      <c r="A1886" s="83"/>
      <c r="B1886" s="489" t="s">
        <v>234</v>
      </c>
      <c r="C1886" s="490"/>
      <c r="D1886" s="490"/>
      <c r="E1886" s="490"/>
      <c r="F1886" s="490"/>
      <c r="G1886" s="490"/>
      <c r="H1886" s="490"/>
      <c r="I1886" s="491"/>
      <c r="J1886" s="80">
        <v>3</v>
      </c>
      <c r="K1886" s="454"/>
      <c r="L1886" s="455"/>
      <c r="M1886" s="455"/>
      <c r="N1886" s="455"/>
      <c r="O1886" s="455"/>
      <c r="P1886" s="456"/>
      <c r="Q1886" s="63"/>
      <c r="R1886" s="64"/>
    </row>
    <row r="1887" spans="1:20" x14ac:dyDescent="0.2">
      <c r="A1887" s="83"/>
      <c r="B1887" s="468"/>
      <c r="C1887" s="468"/>
      <c r="D1887" s="468"/>
      <c r="E1887" s="468"/>
      <c r="F1887" s="468"/>
      <c r="G1887" s="468"/>
      <c r="H1887" s="468"/>
      <c r="I1887" s="468"/>
      <c r="J1887" s="468"/>
      <c r="K1887" s="468"/>
      <c r="L1887" s="468"/>
      <c r="M1887" s="468"/>
      <c r="N1887" s="468"/>
      <c r="O1887" s="468"/>
      <c r="P1887" s="468"/>
      <c r="Q1887" s="63"/>
      <c r="R1887" s="64"/>
    </row>
    <row r="1888" spans="1:20" ht="12" customHeight="1" x14ac:dyDescent="0.2">
      <c r="A1888" s="83"/>
      <c r="B1888" s="469" t="s">
        <v>84</v>
      </c>
      <c r="C1888" s="471" t="str">
        <f>IF(CODE(B1888)=89,"This candidate would like to receive Special","This candidate would not like to receive Special")</f>
        <v>This candidate would like to receive Special</v>
      </c>
      <c r="D1888" s="472"/>
      <c r="E1888" s="472"/>
      <c r="F1888" s="472"/>
      <c r="G1888" s="472"/>
      <c r="H1888" s="472"/>
      <c r="I1888" s="473"/>
      <c r="J1888" s="81"/>
      <c r="K1888" s="474" t="s">
        <v>278</v>
      </c>
      <c r="L1888" s="474"/>
      <c r="M1888" s="475"/>
      <c r="N1888" s="51" t="str">
        <f>IF($P$33&gt;=54,54,"")</f>
        <v/>
      </c>
      <c r="O1888" s="62" t="s">
        <v>52</v>
      </c>
      <c r="P1888" s="51" t="str">
        <f>IF($P$33&gt;=54,$P$33,"")</f>
        <v/>
      </c>
      <c r="Q1888" s="63"/>
      <c r="R1888" s="64"/>
    </row>
    <row r="1889" spans="1:20" ht="12" customHeight="1" x14ac:dyDescent="0.2">
      <c r="A1889" s="83"/>
      <c r="B1889" s="470"/>
      <c r="C1889" s="476" t="str">
        <f>IF(CODE(B1888)=89,"Announcements and Bulletins from RAD Canada","Announcements and Bulletins from RAD Canada")</f>
        <v>Announcements and Bulletins from RAD Canada</v>
      </c>
      <c r="D1889" s="477"/>
      <c r="E1889" s="477"/>
      <c r="F1889" s="477"/>
      <c r="G1889" s="477"/>
      <c r="H1889" s="477"/>
      <c r="I1889" s="478"/>
      <c r="J1889" s="479"/>
      <c r="K1889" s="400"/>
      <c r="L1889" s="400"/>
      <c r="M1889" s="400"/>
      <c r="N1889" s="400"/>
      <c r="O1889" s="400"/>
      <c r="P1889" s="400"/>
      <c r="Q1889" s="63"/>
      <c r="R1889" s="64"/>
    </row>
    <row r="1890" spans="1:20" x14ac:dyDescent="0.2">
      <c r="A1890" s="83"/>
      <c r="B1890" s="81"/>
      <c r="C1890" s="81"/>
      <c r="D1890" s="81"/>
      <c r="E1890" s="81"/>
      <c r="F1890" s="81"/>
      <c r="G1890" s="81"/>
      <c r="H1890" s="81"/>
      <c r="I1890" s="81"/>
      <c r="J1890" s="81"/>
      <c r="K1890" s="81"/>
      <c r="L1890" s="81"/>
      <c r="M1890" s="81"/>
      <c r="N1890" s="81"/>
      <c r="O1890" s="81"/>
      <c r="P1890" s="81"/>
      <c r="Q1890" s="63"/>
      <c r="R1890" s="64"/>
    </row>
    <row r="1891" spans="1:20" x14ac:dyDescent="0.2">
      <c r="A1891" s="83"/>
      <c r="B1891" s="62"/>
      <c r="C1891" s="62"/>
      <c r="D1891" s="62"/>
      <c r="E1891" s="62"/>
      <c r="F1891" s="62"/>
      <c r="G1891" s="62"/>
      <c r="H1891" s="62"/>
      <c r="I1891" s="62"/>
      <c r="J1891" s="62"/>
      <c r="K1891" s="62"/>
      <c r="L1891" s="62"/>
      <c r="M1891" s="62"/>
      <c r="N1891" s="62"/>
      <c r="O1891" s="62"/>
      <c r="P1891" s="62"/>
      <c r="Q1891" s="63"/>
      <c r="R1891" s="64"/>
    </row>
    <row r="1892" spans="1:20" x14ac:dyDescent="0.2">
      <c r="A1892" s="83"/>
      <c r="B1892" s="401" t="s">
        <v>172</v>
      </c>
      <c r="C1892" s="402"/>
      <c r="D1892" s="402"/>
      <c r="E1892" s="402"/>
      <c r="F1892" s="402"/>
      <c r="G1892" s="402"/>
      <c r="H1892" s="62"/>
      <c r="I1892" s="62"/>
      <c r="J1892" s="62"/>
      <c r="K1892" s="62"/>
      <c r="L1892" s="62"/>
      <c r="M1892" s="62"/>
      <c r="N1892" s="62"/>
      <c r="O1892" s="62"/>
      <c r="P1892" s="62"/>
      <c r="Q1892" s="63"/>
      <c r="R1892" s="64"/>
    </row>
    <row r="1893" spans="1:20" ht="15.75" x14ac:dyDescent="0.25">
      <c r="A1893" s="83"/>
      <c r="B1893" s="402"/>
      <c r="C1893" s="402"/>
      <c r="D1893" s="402"/>
      <c r="E1893" s="402"/>
      <c r="F1893" s="402"/>
      <c r="G1893" s="402"/>
      <c r="H1893" s="82"/>
      <c r="I1893" s="403"/>
      <c r="J1893" s="403"/>
      <c r="K1893" s="403"/>
      <c r="L1893" s="403"/>
      <c r="M1893" s="403"/>
      <c r="N1893" s="403"/>
      <c r="O1893" s="403"/>
      <c r="P1893" s="403"/>
      <c r="Q1893" s="63"/>
      <c r="R1893" s="64"/>
    </row>
    <row r="1894" spans="1:20" x14ac:dyDescent="0.2">
      <c r="A1894" s="83"/>
      <c r="B1894" s="400"/>
      <c r="C1894" s="400"/>
      <c r="D1894" s="400"/>
      <c r="E1894" s="400"/>
      <c r="F1894" s="400"/>
      <c r="G1894" s="400"/>
      <c r="H1894" s="400"/>
      <c r="I1894" s="400"/>
      <c r="J1894" s="400"/>
      <c r="K1894" s="400"/>
      <c r="L1894" s="400"/>
      <c r="M1894" s="403"/>
      <c r="N1894" s="403"/>
      <c r="O1894" s="403"/>
      <c r="P1894" s="403"/>
      <c r="Q1894" s="63"/>
      <c r="R1894" s="64"/>
    </row>
    <row r="1895" spans="1:20" x14ac:dyDescent="0.2">
      <c r="A1895" s="83"/>
      <c r="B1895" s="404" t="s">
        <v>260</v>
      </c>
      <c r="C1895" s="404"/>
      <c r="D1895" s="404"/>
      <c r="E1895" s="404"/>
      <c r="F1895" s="400"/>
      <c r="G1895" s="400"/>
      <c r="H1895" s="400"/>
      <c r="I1895" s="400"/>
      <c r="J1895" s="400"/>
      <c r="K1895" s="400"/>
      <c r="L1895" s="400"/>
      <c r="M1895" s="403"/>
      <c r="N1895" s="403"/>
      <c r="O1895" s="403"/>
      <c r="P1895" s="403"/>
      <c r="Q1895" s="63"/>
      <c r="R1895" s="64"/>
    </row>
    <row r="1896" spans="1:20" x14ac:dyDescent="0.2">
      <c r="A1896" s="83"/>
      <c r="B1896" s="69"/>
      <c r="C1896" s="324" t="s">
        <v>75</v>
      </c>
      <c r="D1896" s="408"/>
      <c r="E1896" s="409"/>
      <c r="F1896" s="400"/>
      <c r="G1896" s="400"/>
      <c r="H1896" s="400"/>
      <c r="I1896" s="400"/>
      <c r="J1896" s="400"/>
      <c r="K1896" s="400"/>
      <c r="L1896" s="400"/>
      <c r="M1896" s="70"/>
      <c r="N1896" s="70"/>
      <c r="O1896" s="70"/>
      <c r="P1896" s="70"/>
      <c r="Q1896" s="63"/>
      <c r="R1896" s="64"/>
    </row>
    <row r="1897" spans="1:20" x14ac:dyDescent="0.2">
      <c r="A1897" s="83"/>
      <c r="B1897" s="71"/>
      <c r="C1897" s="324" t="s">
        <v>128</v>
      </c>
      <c r="D1897" s="408"/>
      <c r="E1897" s="409"/>
      <c r="F1897" s="400"/>
      <c r="G1897" s="400"/>
      <c r="H1897" s="400"/>
      <c r="I1897" s="400"/>
      <c r="J1897" s="400"/>
      <c r="K1897" s="400"/>
      <c r="L1897" s="400"/>
      <c r="M1897" s="407" t="s">
        <v>256</v>
      </c>
      <c r="N1897" s="407"/>
      <c r="O1897" s="407"/>
      <c r="P1897" s="407"/>
      <c r="Q1897" s="63"/>
      <c r="R1897" s="64"/>
    </row>
    <row r="1898" spans="1:20" x14ac:dyDescent="0.2">
      <c r="A1898" s="83"/>
      <c r="B1898" s="56"/>
      <c r="C1898" s="324" t="s">
        <v>142</v>
      </c>
      <c r="D1898" s="408"/>
      <c r="E1898" s="409"/>
      <c r="F1898" s="400"/>
      <c r="G1898" s="400"/>
      <c r="H1898" s="400"/>
      <c r="I1898" s="400"/>
      <c r="J1898" s="400"/>
      <c r="K1898" s="400"/>
      <c r="L1898" s="400"/>
      <c r="M1898" s="407"/>
      <c r="N1898" s="407"/>
      <c r="O1898" s="407"/>
      <c r="P1898" s="407"/>
      <c r="Q1898" s="63"/>
      <c r="R1898" s="64"/>
    </row>
    <row r="1899" spans="1:20" x14ac:dyDescent="0.2">
      <c r="A1899" s="83"/>
      <c r="B1899" s="520"/>
      <c r="C1899" s="520"/>
      <c r="D1899" s="520"/>
      <c r="E1899" s="520"/>
      <c r="F1899" s="520"/>
      <c r="G1899" s="520"/>
      <c r="H1899" s="520"/>
      <c r="I1899" s="520"/>
      <c r="J1899" s="520"/>
      <c r="K1899" s="520"/>
      <c r="L1899" s="520"/>
      <c r="M1899" s="520"/>
      <c r="N1899" s="520"/>
      <c r="O1899" s="520"/>
      <c r="P1899" s="520"/>
      <c r="Q1899" s="63"/>
      <c r="R1899" s="64"/>
    </row>
    <row r="1900" spans="1:20" x14ac:dyDescent="0.2">
      <c r="A1900" s="83"/>
      <c r="B1900" s="432" t="s">
        <v>117</v>
      </c>
      <c r="C1900" s="433"/>
      <c r="D1900" s="434"/>
      <c r="E1900" s="442" t="str">
        <f>IF(AND($P$33&gt;=55,NOT(ISBLANK($E$10))),$E$10,"")</f>
        <v/>
      </c>
      <c r="F1900" s="443"/>
      <c r="G1900" s="444"/>
      <c r="H1900" s="414" t="s">
        <v>124</v>
      </c>
      <c r="I1900" s="415"/>
      <c r="J1900" s="442" t="str">
        <f>IF(AND($P$33&gt;=55,NOT(ISBLANK($J$10))),$J$10,"")</f>
        <v/>
      </c>
      <c r="K1900" s="443"/>
      <c r="L1900" s="444"/>
      <c r="M1900" s="414" t="s">
        <v>118</v>
      </c>
      <c r="N1900" s="415"/>
      <c r="O1900" s="430" t="str">
        <f>IF(AND($P$33&gt;=55,NOT(ISBLANK($O$10))),$O$10,"")</f>
        <v/>
      </c>
      <c r="P1900" s="521"/>
      <c r="Q1900" s="63"/>
      <c r="R1900" s="545" t="s">
        <v>307</v>
      </c>
      <c r="S1900" s="546"/>
      <c r="T1900" s="547"/>
    </row>
    <row r="1901" spans="1:20" x14ac:dyDescent="0.2">
      <c r="A1901" s="83"/>
      <c r="B1901" s="432" t="s">
        <v>240</v>
      </c>
      <c r="C1901" s="433"/>
      <c r="D1901" s="434"/>
      <c r="E1901" s="435" t="str">
        <f>IF(NOT($N1923=55),"",IF(ISERROR(LOOKUP(55,'Teacher Summary Sheet'!$M$19:$M$181)),"",IF(VLOOKUP(55,'Teacher Summary Sheet'!$M$19:$R$181,2)=0,"",VLOOKUP(55,'Teacher Summary Sheet'!$M$19:$R$181,2))))</f>
        <v/>
      </c>
      <c r="F1901" s="436"/>
      <c r="G1901" s="437"/>
      <c r="H1901" s="438" t="s">
        <v>119</v>
      </c>
      <c r="I1901" s="439"/>
      <c r="J1901" s="102" t="str">
        <f>IF(NOT($N1923=55),"",IF(ISERROR(LOOKUP(55,'Teacher Summary Sheet'!$M$19:$M$181)),"",IF(VLOOKUP(55,'Teacher Summary Sheet'!$M$19:$R$181,6)=0,"",VLOOKUP(55,'Teacher Summary Sheet'!$M$19:$R$181,6))))</f>
        <v/>
      </c>
      <c r="K1901" s="414" t="s">
        <v>179</v>
      </c>
      <c r="L1901" s="419"/>
      <c r="M1901" s="415"/>
      <c r="N1901" s="412" t="str">
        <f>IF(NOT($N1923=55),"",IF(ISERROR(LOOKUP(55,'Teacher Summary Sheet'!$M$19:$M$181)),"",IF('Teacher Summary Sheet'!$F$31=0,"",'Teacher Summary Sheet'!$F$31)))</f>
        <v/>
      </c>
      <c r="O1901" s="440"/>
      <c r="P1901" s="413"/>
      <c r="Q1901" s="63"/>
      <c r="R1901" s="548"/>
      <c r="S1901" s="549"/>
      <c r="T1901" s="550"/>
    </row>
    <row r="1902" spans="1:20" ht="14.25" x14ac:dyDescent="0.2">
      <c r="A1902" s="83"/>
      <c r="B1902" s="410" t="s">
        <v>241</v>
      </c>
      <c r="C1902" s="420"/>
      <c r="D1902" s="411"/>
      <c r="E1902" s="421" t="str">
        <f>IF(NOT($N1923=55),"",IF(ISERROR(LOOKUP(55,'Teacher Summary Sheet'!$M$19:$M$181)),"",IF(VLOOKUP(55,'Teacher Summary Sheet'!$M$19:$R$181,3)=0,"",VLOOKUP(55,'Teacher Summary Sheet'!$M$19:$R$181,3))))</f>
        <v/>
      </c>
      <c r="F1902" s="422"/>
      <c r="G1902" s="422"/>
      <c r="H1902" s="422"/>
      <c r="I1902" s="423"/>
      <c r="J1902" s="414" t="s">
        <v>124</v>
      </c>
      <c r="K1902" s="415"/>
      <c r="L1902" s="424" t="str">
        <f>IF(NOT($N1923=55),"",IF(ISERROR(LOOKUP(55,'Teacher Summary Sheet'!$M$19:$M$181)),"",IF(VLOOKUP(55,'Teacher Summary Sheet'!$M$19:$R$181,4)=0,"",VLOOKUP(55,'Teacher Summary Sheet'!$M$19:$R$181,4))))</f>
        <v/>
      </c>
      <c r="M1902" s="425"/>
      <c r="N1902" s="425"/>
      <c r="O1902" s="425"/>
      <c r="P1902" s="426"/>
      <c r="Q1902" s="63"/>
      <c r="R1902" s="125" t="str">
        <f>IF(NOT(N1923=55),"",IF(COUNTIF(R1904:R1910,"P")=7,"P","O"))</f>
        <v/>
      </c>
      <c r="S1902" s="110" t="str">
        <f>IF(NOT(N1923=55),"",IF(COUNTIF(R1904:R1910,"P")=7,"Complete","Incomplete"))</f>
        <v/>
      </c>
      <c r="T1902" s="111"/>
    </row>
    <row r="1903" spans="1:20" x14ac:dyDescent="0.2">
      <c r="A1903" s="83"/>
      <c r="B1903" s="410" t="s">
        <v>120</v>
      </c>
      <c r="C1903" s="420"/>
      <c r="D1903" s="411"/>
      <c r="E1903" s="427"/>
      <c r="F1903" s="428"/>
      <c r="G1903" s="428"/>
      <c r="H1903" s="428"/>
      <c r="I1903" s="428"/>
      <c r="J1903" s="429"/>
      <c r="K1903" s="62" t="s">
        <v>121</v>
      </c>
      <c r="L1903" s="427"/>
      <c r="M1903" s="428"/>
      <c r="N1903" s="428"/>
      <c r="O1903" s="428"/>
      <c r="P1903" s="429"/>
      <c r="Q1903" s="63"/>
    </row>
    <row r="1904" spans="1:20" ht="14.25" x14ac:dyDescent="0.2">
      <c r="A1904" s="83"/>
      <c r="B1904" s="410" t="s">
        <v>196</v>
      </c>
      <c r="C1904" s="420"/>
      <c r="D1904" s="411"/>
      <c r="E1904" s="427"/>
      <c r="F1904" s="428"/>
      <c r="G1904" s="428"/>
      <c r="H1904" s="428"/>
      <c r="I1904" s="429"/>
      <c r="J1904" s="73" t="s">
        <v>197</v>
      </c>
      <c r="K1904" s="405"/>
      <c r="L1904" s="406"/>
      <c r="M1904" s="414" t="s">
        <v>212</v>
      </c>
      <c r="N1904" s="415"/>
      <c r="O1904" s="405"/>
      <c r="P1904" s="406"/>
      <c r="Q1904" s="63"/>
      <c r="R1904" s="124" t="str">
        <f>IF(NOT(N1923=55),"",IF(OR(COUNTBLANK(E1902:E1902)=1,COUNTBLANK(L1902:L1902)=1),"O","P"))</f>
        <v/>
      </c>
      <c r="S1904" s="108" t="str">
        <f>IF(NOT(N1923=55),"","Candidate Name")</f>
        <v/>
      </c>
      <c r="T1904" s="64"/>
    </row>
    <row r="1905" spans="1:20" ht="14.25" x14ac:dyDescent="0.2">
      <c r="A1905" s="83"/>
      <c r="B1905" s="410" t="s">
        <v>198</v>
      </c>
      <c r="C1905" s="420"/>
      <c r="D1905" s="411"/>
      <c r="E1905" s="454"/>
      <c r="F1905" s="455"/>
      <c r="G1905" s="455"/>
      <c r="H1905" s="456"/>
      <c r="I1905" s="74" t="s">
        <v>199</v>
      </c>
      <c r="J1905" s="427"/>
      <c r="K1905" s="428"/>
      <c r="L1905" s="428"/>
      <c r="M1905" s="428"/>
      <c r="N1905" s="428"/>
      <c r="O1905" s="428"/>
      <c r="P1905" s="429"/>
      <c r="Q1905" s="63"/>
      <c r="R1905" s="124" t="str">
        <f>IF(NOT(N1923=55),"",IF(COUNTBLANK(E1901:E1901)=1,"O","P"))</f>
        <v/>
      </c>
      <c r="S1905" s="108" t="str">
        <f>IF(NOT(N1923=55),"","Candidate ID")</f>
        <v/>
      </c>
      <c r="T1905" s="64"/>
    </row>
    <row r="1906" spans="1:20" ht="14.25" x14ac:dyDescent="0.2">
      <c r="A1906" s="83"/>
      <c r="B1906" s="410" t="s">
        <v>227</v>
      </c>
      <c r="C1906" s="420"/>
      <c r="D1906" s="411"/>
      <c r="E1906" s="75" t="s">
        <v>218</v>
      </c>
      <c r="F1906" s="405"/>
      <c r="G1906" s="448"/>
      <c r="H1906" s="75" t="s">
        <v>138</v>
      </c>
      <c r="I1906" s="449"/>
      <c r="J1906" s="450"/>
      <c r="K1906" s="76" t="s">
        <v>139</v>
      </c>
      <c r="L1906" s="451"/>
      <c r="M1906" s="452"/>
      <c r="N1906" s="76" t="s">
        <v>228</v>
      </c>
      <c r="O1906" s="453" t="str">
        <f ca="1">IF(OR(ISBLANK(L1906),ISBLANK(I1906),ISBLANK(F1906),COUNTBLANK(J1901:J1901)=1),"",IF(DATEDIF(DATE(L1906,VLOOKUP(I1906,data!$T$2:$U$13,2,FALSE),F1906),IF(AND(TODAY()&lt;data!$AJ$12,TODAY()&gt;data!$AI$12),data!$AI$3,data!$AJ$3),"Y")&gt;=data!$AC$57,YEAR(TODAY())-L1906,data!$AD$3))</f>
        <v/>
      </c>
      <c r="P1906" s="413"/>
      <c r="Q1906" s="63"/>
      <c r="R1906" s="124" t="str">
        <f>IF(NOT(N1923=55),"",IF(OR(ISBLANK(E1903),ISBLANK(L1903),ISBLANK(K1904),ISBLANK(O1904)),"O","P"))</f>
        <v/>
      </c>
      <c r="S1906" s="108" t="str">
        <f>IF(NOT(N1923=55),"","Address")</f>
        <v/>
      </c>
      <c r="T1906" s="64"/>
    </row>
    <row r="1907" spans="1:20" ht="15" thickBot="1" x14ac:dyDescent="0.25">
      <c r="A1907" s="83"/>
      <c r="B1907" s="410" t="s">
        <v>214</v>
      </c>
      <c r="C1907" s="411"/>
      <c r="D1907" s="412" t="str">
        <f>IF(NOT($N1923=55),"",IF(ISERROR(LOOKUP(55,'Teacher Summary Sheet'!$M$19:$M$181)),"",IF(VLOOKUP(55,'Teacher Summary Sheet'!$M$19:$R$181,5)=0,"",VLOOKUP(55,'Teacher Summary Sheet'!$M$19:$R$181,5))))</f>
        <v/>
      </c>
      <c r="E1907" s="413"/>
      <c r="F1907" s="414" t="s">
        <v>319</v>
      </c>
      <c r="G1907" s="415"/>
      <c r="H1907" s="416"/>
      <c r="I1907" s="417"/>
      <c r="J1907" s="418"/>
      <c r="K1907" s="414" t="s">
        <v>320</v>
      </c>
      <c r="L1907" s="419"/>
      <c r="M1907" s="419"/>
      <c r="N1907" s="415"/>
      <c r="O1907" s="405" t="s">
        <v>268</v>
      </c>
      <c r="P1907" s="406"/>
      <c r="Q1907" s="63"/>
      <c r="R1907" s="124" t="str">
        <f>IF(NOT(N1923=55),"",IF(OR(ISBLANK(F1906),ISBLANK(I1906),ISBLANK(L1906)),"O","P"))</f>
        <v/>
      </c>
      <c r="S1907" s="108" t="str">
        <f>IF(NOT(N1923=55),"","Date of Birth")</f>
        <v/>
      </c>
      <c r="T1907" s="64"/>
    </row>
    <row r="1908" spans="1:20" ht="14.25" x14ac:dyDescent="0.2">
      <c r="A1908" s="83"/>
      <c r="B1908" s="522" t="s">
        <v>297</v>
      </c>
      <c r="C1908" s="463"/>
      <c r="D1908" s="463"/>
      <c r="E1908" s="463"/>
      <c r="F1908" s="463"/>
      <c r="G1908" s="463"/>
      <c r="H1908" s="463"/>
      <c r="I1908" s="463"/>
      <c r="J1908" s="463"/>
      <c r="K1908" s="463"/>
      <c r="L1908" s="463"/>
      <c r="M1908" s="463"/>
      <c r="N1908" s="463"/>
      <c r="O1908" s="463"/>
      <c r="P1908" s="464"/>
      <c r="Q1908" s="63"/>
      <c r="R1908" s="124" t="str">
        <f>IF(NOT(N1923=55),"",IF(COUNTBLANK(J1901:J1901)=1,"O","P"))</f>
        <v/>
      </c>
      <c r="S1908" s="112" t="str">
        <f>IF(NOT(N1923=55),"","Exam Level")</f>
        <v/>
      </c>
      <c r="T1908" s="64"/>
    </row>
    <row r="1909" spans="1:20" ht="14.25" x14ac:dyDescent="0.2">
      <c r="A1909" s="83"/>
      <c r="B1909" s="465"/>
      <c r="C1909" s="466"/>
      <c r="D1909" s="466"/>
      <c r="E1909" s="466"/>
      <c r="F1909" s="466"/>
      <c r="G1909" s="466"/>
      <c r="H1909" s="466"/>
      <c r="I1909" s="466"/>
      <c r="J1909" s="466"/>
      <c r="K1909" s="466"/>
      <c r="L1909" s="466"/>
      <c r="M1909" s="466"/>
      <c r="N1909" s="466"/>
      <c r="O1909" s="466"/>
      <c r="P1909" s="467"/>
      <c r="Q1909" s="63"/>
      <c r="R1909" s="124" t="str">
        <f>IF(NOT(N1923=55),"",IF(COUNTBLANK(D1907:D1907)=1,"O","P"))</f>
        <v/>
      </c>
      <c r="S1909" s="109" t="str">
        <f>IF(NOT(N1923=55),"","Gender")</f>
        <v/>
      </c>
      <c r="T1909" s="64"/>
    </row>
    <row r="1910" spans="1:20" ht="14.25" x14ac:dyDescent="0.2">
      <c r="A1910" s="83"/>
      <c r="B1910" s="432" t="s">
        <v>298</v>
      </c>
      <c r="C1910" s="433"/>
      <c r="D1910" s="434"/>
      <c r="E1910" s="405"/>
      <c r="F1910" s="406"/>
      <c r="G1910" s="432" t="s">
        <v>299</v>
      </c>
      <c r="H1910" s="433"/>
      <c r="I1910" s="434"/>
      <c r="J1910" s="405"/>
      <c r="K1910" s="448"/>
      <c r="L1910" s="406"/>
      <c r="M1910" s="414" t="s">
        <v>300</v>
      </c>
      <c r="N1910" s="415"/>
      <c r="O1910" s="457"/>
      <c r="P1910" s="458"/>
      <c r="Q1910" s="63"/>
      <c r="R1910" s="124" t="str">
        <f>IF(NOT(N1923=55),"",IF(ISBLANK(H1907),"O","P"))</f>
        <v/>
      </c>
      <c r="S1910" s="109" t="str">
        <f>IF(NOT(N1923=55),"","Height")</f>
        <v/>
      </c>
      <c r="T1910" s="64"/>
    </row>
    <row r="1911" spans="1:20" x14ac:dyDescent="0.2">
      <c r="A1911" s="83"/>
      <c r="B1911" s="77" t="s">
        <v>153</v>
      </c>
      <c r="C1911" s="405"/>
      <c r="D1911" s="406"/>
      <c r="E1911" s="414" t="s">
        <v>301</v>
      </c>
      <c r="F1911" s="415"/>
      <c r="G1911" s="459"/>
      <c r="H1911" s="460"/>
      <c r="I1911" s="461"/>
      <c r="J1911" s="414" t="s">
        <v>302</v>
      </c>
      <c r="K1911" s="415"/>
      <c r="L1911" s="454"/>
      <c r="M1911" s="455"/>
      <c r="N1911" s="455"/>
      <c r="O1911" s="455"/>
      <c r="P1911" s="456"/>
      <c r="Q1911" s="63"/>
      <c r="R1911" s="64"/>
      <c r="S1911" s="64"/>
      <c r="T1911" s="64"/>
    </row>
    <row r="1912" spans="1:20" x14ac:dyDescent="0.2">
      <c r="A1912" s="83"/>
      <c r="B1912" s="410" t="s">
        <v>116</v>
      </c>
      <c r="C1912" s="420"/>
      <c r="D1912" s="420"/>
      <c r="E1912" s="420"/>
      <c r="F1912" s="420"/>
      <c r="G1912" s="420"/>
      <c r="H1912" s="420"/>
      <c r="I1912" s="420"/>
      <c r="J1912" s="420"/>
      <c r="K1912" s="420"/>
      <c r="L1912" s="420"/>
      <c r="M1912" s="420"/>
      <c r="N1912" s="420"/>
      <c r="O1912" s="420"/>
      <c r="P1912" s="411"/>
      <c r="Q1912" s="63"/>
      <c r="R1912" s="64"/>
      <c r="S1912" s="64"/>
      <c r="T1912" s="64"/>
    </row>
    <row r="1913" spans="1:20" x14ac:dyDescent="0.2">
      <c r="A1913" s="83"/>
      <c r="B1913" s="410" t="s">
        <v>298</v>
      </c>
      <c r="C1913" s="420"/>
      <c r="D1913" s="411"/>
      <c r="E1913" s="405"/>
      <c r="F1913" s="406"/>
      <c r="G1913" s="410" t="s">
        <v>299</v>
      </c>
      <c r="H1913" s="420"/>
      <c r="I1913" s="411"/>
      <c r="J1913" s="454"/>
      <c r="K1913" s="455"/>
      <c r="L1913" s="456"/>
      <c r="M1913" s="414" t="s">
        <v>300</v>
      </c>
      <c r="N1913" s="415"/>
      <c r="O1913" s="457"/>
      <c r="P1913" s="458"/>
      <c r="Q1913" s="63"/>
      <c r="R1913" s="64"/>
    </row>
    <row r="1914" spans="1:20" ht="13.5" thickBot="1" x14ac:dyDescent="0.25">
      <c r="A1914" s="83"/>
      <c r="B1914" s="78" t="s">
        <v>153</v>
      </c>
      <c r="C1914" s="492"/>
      <c r="D1914" s="493"/>
      <c r="E1914" s="494" t="s">
        <v>301</v>
      </c>
      <c r="F1914" s="495"/>
      <c r="G1914" s="496"/>
      <c r="H1914" s="497"/>
      <c r="I1914" s="498"/>
      <c r="J1914" s="414" t="s">
        <v>302</v>
      </c>
      <c r="K1914" s="415"/>
      <c r="L1914" s="454"/>
      <c r="M1914" s="455"/>
      <c r="N1914" s="455"/>
      <c r="O1914" s="455"/>
      <c r="P1914" s="456"/>
      <c r="Q1914" s="63"/>
      <c r="R1914" s="64"/>
    </row>
    <row r="1915" spans="1:20" x14ac:dyDescent="0.2">
      <c r="A1915" s="83"/>
      <c r="B1915" s="499" t="s">
        <v>126</v>
      </c>
      <c r="C1915" s="500"/>
      <c r="D1915" s="500"/>
      <c r="E1915" s="500"/>
      <c r="F1915" s="500"/>
      <c r="G1915" s="500"/>
      <c r="H1915" s="500"/>
      <c r="I1915" s="501"/>
      <c r="J1915" s="505"/>
      <c r="K1915" s="506"/>
      <c r="L1915" s="506"/>
      <c r="M1915" s="506"/>
      <c r="N1915" s="506"/>
      <c r="O1915" s="506"/>
      <c r="P1915" s="507"/>
      <c r="Q1915" s="63"/>
      <c r="R1915" s="64"/>
    </row>
    <row r="1916" spans="1:20" x14ac:dyDescent="0.2">
      <c r="A1916" s="83"/>
      <c r="B1916" s="502"/>
      <c r="C1916" s="503"/>
      <c r="D1916" s="503"/>
      <c r="E1916" s="503"/>
      <c r="F1916" s="503"/>
      <c r="G1916" s="503"/>
      <c r="H1916" s="503"/>
      <c r="I1916" s="504"/>
      <c r="J1916" s="508"/>
      <c r="K1916" s="509"/>
      <c r="L1916" s="509"/>
      <c r="M1916" s="509"/>
      <c r="N1916" s="509"/>
      <c r="O1916" s="509"/>
      <c r="P1916" s="510"/>
      <c r="Q1916" s="63"/>
      <c r="R1916" s="64"/>
    </row>
    <row r="1917" spans="1:20" x14ac:dyDescent="0.2">
      <c r="A1917" s="83"/>
      <c r="B1917" s="514" t="s">
        <v>127</v>
      </c>
      <c r="C1917" s="515"/>
      <c r="D1917" s="515"/>
      <c r="E1917" s="515"/>
      <c r="F1917" s="515"/>
      <c r="G1917" s="515"/>
      <c r="H1917" s="515"/>
      <c r="I1917" s="516"/>
      <c r="J1917" s="508"/>
      <c r="K1917" s="509"/>
      <c r="L1917" s="509"/>
      <c r="M1917" s="509"/>
      <c r="N1917" s="509"/>
      <c r="O1917" s="509"/>
      <c r="P1917" s="510"/>
      <c r="Q1917" s="63"/>
      <c r="R1917" s="64"/>
    </row>
    <row r="1918" spans="1:20" ht="13.5" thickBot="1" x14ac:dyDescent="0.25">
      <c r="A1918" s="83"/>
      <c r="B1918" s="517"/>
      <c r="C1918" s="518"/>
      <c r="D1918" s="518"/>
      <c r="E1918" s="518"/>
      <c r="F1918" s="518"/>
      <c r="G1918" s="518"/>
      <c r="H1918" s="518"/>
      <c r="I1918" s="519"/>
      <c r="J1918" s="511"/>
      <c r="K1918" s="512"/>
      <c r="L1918" s="512"/>
      <c r="M1918" s="512"/>
      <c r="N1918" s="512"/>
      <c r="O1918" s="512"/>
      <c r="P1918" s="513"/>
      <c r="Q1918" s="63"/>
      <c r="R1918" s="64"/>
    </row>
    <row r="1919" spans="1:20" x14ac:dyDescent="0.2">
      <c r="A1919" s="83"/>
      <c r="B1919" s="480" t="s">
        <v>10</v>
      </c>
      <c r="C1919" s="481"/>
      <c r="D1919" s="481"/>
      <c r="E1919" s="481"/>
      <c r="F1919" s="481"/>
      <c r="G1919" s="481"/>
      <c r="H1919" s="481"/>
      <c r="I1919" s="482"/>
      <c r="J1919" s="79">
        <v>1</v>
      </c>
      <c r="K1919" s="483"/>
      <c r="L1919" s="484"/>
      <c r="M1919" s="484"/>
      <c r="N1919" s="484"/>
      <c r="O1919" s="484"/>
      <c r="P1919" s="485"/>
      <c r="Q1919" s="63"/>
      <c r="R1919" s="64"/>
    </row>
    <row r="1920" spans="1:20" x14ac:dyDescent="0.2">
      <c r="A1920" s="83"/>
      <c r="B1920" s="486" t="s">
        <v>276</v>
      </c>
      <c r="C1920" s="487"/>
      <c r="D1920" s="487"/>
      <c r="E1920" s="487"/>
      <c r="F1920" s="487"/>
      <c r="G1920" s="487"/>
      <c r="H1920" s="487"/>
      <c r="I1920" s="488"/>
      <c r="J1920" s="80">
        <v>2</v>
      </c>
      <c r="K1920" s="454"/>
      <c r="L1920" s="455"/>
      <c r="M1920" s="455"/>
      <c r="N1920" s="455"/>
      <c r="O1920" s="455"/>
      <c r="P1920" s="456"/>
      <c r="Q1920" s="63"/>
      <c r="R1920" s="64"/>
    </row>
    <row r="1921" spans="1:20" x14ac:dyDescent="0.2">
      <c r="A1921" s="83"/>
      <c r="B1921" s="489" t="s">
        <v>234</v>
      </c>
      <c r="C1921" s="490"/>
      <c r="D1921" s="490"/>
      <c r="E1921" s="490"/>
      <c r="F1921" s="490"/>
      <c r="G1921" s="490"/>
      <c r="H1921" s="490"/>
      <c r="I1921" s="491"/>
      <c r="J1921" s="80">
        <v>3</v>
      </c>
      <c r="K1921" s="454"/>
      <c r="L1921" s="455"/>
      <c r="M1921" s="455"/>
      <c r="N1921" s="455"/>
      <c r="O1921" s="455"/>
      <c r="P1921" s="456"/>
      <c r="Q1921" s="63"/>
      <c r="R1921" s="64"/>
    </row>
    <row r="1922" spans="1:20" x14ac:dyDescent="0.2">
      <c r="A1922" s="83"/>
      <c r="B1922" s="468"/>
      <c r="C1922" s="468"/>
      <c r="D1922" s="468"/>
      <c r="E1922" s="468"/>
      <c r="F1922" s="468"/>
      <c r="G1922" s="468"/>
      <c r="H1922" s="468"/>
      <c r="I1922" s="468"/>
      <c r="J1922" s="468"/>
      <c r="K1922" s="468"/>
      <c r="L1922" s="468"/>
      <c r="M1922" s="468"/>
      <c r="N1922" s="468"/>
      <c r="O1922" s="468"/>
      <c r="P1922" s="468"/>
      <c r="Q1922" s="63"/>
      <c r="R1922" s="64"/>
    </row>
    <row r="1923" spans="1:20" ht="12" customHeight="1" x14ac:dyDescent="0.2">
      <c r="A1923" s="83"/>
      <c r="B1923" s="469" t="s">
        <v>84</v>
      </c>
      <c r="C1923" s="471" t="str">
        <f>IF(CODE(B1923)=89,"This candidate would like to receive Special","This candidate would not like to receive Special")</f>
        <v>This candidate would like to receive Special</v>
      </c>
      <c r="D1923" s="472"/>
      <c r="E1923" s="472"/>
      <c r="F1923" s="472"/>
      <c r="G1923" s="472"/>
      <c r="H1923" s="472"/>
      <c r="I1923" s="473"/>
      <c r="J1923" s="81"/>
      <c r="K1923" s="474" t="s">
        <v>235</v>
      </c>
      <c r="L1923" s="474"/>
      <c r="M1923" s="475"/>
      <c r="N1923" s="51" t="str">
        <f>IF($P$33&gt;=55,55,"")</f>
        <v/>
      </c>
      <c r="O1923" s="62" t="s">
        <v>52</v>
      </c>
      <c r="P1923" s="51" t="str">
        <f>IF($P$33&gt;=55,$P$33,"")</f>
        <v/>
      </c>
      <c r="Q1923" s="63"/>
      <c r="R1923" s="64"/>
    </row>
    <row r="1924" spans="1:20" ht="12" customHeight="1" x14ac:dyDescent="0.2">
      <c r="A1924" s="83"/>
      <c r="B1924" s="470"/>
      <c r="C1924" s="476" t="str">
        <f>IF(CODE(B1923)=89,"Announcements and Bulletins from RAD Canada","Announcements and Bulletins from RAD Canada")</f>
        <v>Announcements and Bulletins from RAD Canada</v>
      </c>
      <c r="D1924" s="477"/>
      <c r="E1924" s="477"/>
      <c r="F1924" s="477"/>
      <c r="G1924" s="477"/>
      <c r="H1924" s="477"/>
      <c r="I1924" s="478"/>
      <c r="J1924" s="479"/>
      <c r="K1924" s="400"/>
      <c r="L1924" s="400"/>
      <c r="M1924" s="400"/>
      <c r="N1924" s="400"/>
      <c r="O1924" s="400"/>
      <c r="P1924" s="400"/>
      <c r="Q1924" s="63"/>
      <c r="R1924" s="64"/>
    </row>
    <row r="1925" spans="1:20" x14ac:dyDescent="0.2">
      <c r="A1925" s="83"/>
      <c r="B1925" s="81"/>
      <c r="C1925" s="81"/>
      <c r="D1925" s="81"/>
      <c r="E1925" s="81"/>
      <c r="F1925" s="81"/>
      <c r="G1925" s="81"/>
      <c r="H1925" s="81"/>
      <c r="I1925" s="81"/>
      <c r="J1925" s="81"/>
      <c r="K1925" s="81"/>
      <c r="L1925" s="81"/>
      <c r="M1925" s="81"/>
      <c r="N1925" s="81"/>
      <c r="O1925" s="81"/>
      <c r="P1925" s="81"/>
      <c r="Q1925" s="63"/>
      <c r="R1925" s="64"/>
    </row>
    <row r="1926" spans="1:20" x14ac:dyDescent="0.2">
      <c r="A1926" s="83"/>
      <c r="B1926" s="62"/>
      <c r="C1926" s="62"/>
      <c r="D1926" s="62"/>
      <c r="E1926" s="62"/>
      <c r="F1926" s="62"/>
      <c r="G1926" s="62"/>
      <c r="H1926" s="62"/>
      <c r="I1926" s="62"/>
      <c r="J1926" s="62"/>
      <c r="K1926" s="62"/>
      <c r="L1926" s="62"/>
      <c r="M1926" s="62"/>
      <c r="N1926" s="62"/>
      <c r="O1926" s="62"/>
      <c r="P1926" s="62"/>
      <c r="Q1926" s="63"/>
      <c r="R1926" s="64"/>
    </row>
    <row r="1927" spans="1:20" x14ac:dyDescent="0.2">
      <c r="A1927" s="83"/>
      <c r="B1927" s="401" t="s">
        <v>233</v>
      </c>
      <c r="C1927" s="402"/>
      <c r="D1927" s="402"/>
      <c r="E1927" s="402"/>
      <c r="F1927" s="402"/>
      <c r="G1927" s="402"/>
      <c r="H1927" s="62"/>
      <c r="I1927" s="62"/>
      <c r="J1927" s="62"/>
      <c r="K1927" s="62"/>
      <c r="L1927" s="62"/>
      <c r="M1927" s="62"/>
      <c r="N1927" s="62"/>
      <c r="O1927" s="62"/>
      <c r="P1927" s="62"/>
      <c r="Q1927" s="63"/>
      <c r="R1927" s="64"/>
    </row>
    <row r="1928" spans="1:20" ht="15.75" x14ac:dyDescent="0.25">
      <c r="A1928" s="83"/>
      <c r="B1928" s="402"/>
      <c r="C1928" s="402"/>
      <c r="D1928" s="402"/>
      <c r="E1928" s="402"/>
      <c r="F1928" s="402"/>
      <c r="G1928" s="402"/>
      <c r="H1928" s="82"/>
      <c r="I1928" s="403"/>
      <c r="J1928" s="403"/>
      <c r="K1928" s="403"/>
      <c r="L1928" s="403"/>
      <c r="M1928" s="403"/>
      <c r="N1928" s="403"/>
      <c r="O1928" s="403"/>
      <c r="P1928" s="403"/>
      <c r="Q1928" s="63"/>
      <c r="R1928" s="64"/>
    </row>
    <row r="1929" spans="1:20" x14ac:dyDescent="0.2">
      <c r="A1929" s="83"/>
      <c r="B1929" s="400"/>
      <c r="C1929" s="400"/>
      <c r="D1929" s="400"/>
      <c r="E1929" s="400"/>
      <c r="F1929" s="400"/>
      <c r="G1929" s="400"/>
      <c r="H1929" s="400"/>
      <c r="I1929" s="400"/>
      <c r="J1929" s="400"/>
      <c r="K1929" s="400"/>
      <c r="L1929" s="400"/>
      <c r="M1929" s="403"/>
      <c r="N1929" s="403"/>
      <c r="O1929" s="403"/>
      <c r="P1929" s="403"/>
      <c r="Q1929" s="63"/>
      <c r="R1929" s="64"/>
    </row>
    <row r="1930" spans="1:20" x14ac:dyDescent="0.2">
      <c r="A1930" s="83"/>
      <c r="B1930" s="404" t="s">
        <v>260</v>
      </c>
      <c r="C1930" s="404"/>
      <c r="D1930" s="404"/>
      <c r="E1930" s="404"/>
      <c r="F1930" s="400"/>
      <c r="G1930" s="400"/>
      <c r="H1930" s="400"/>
      <c r="I1930" s="400"/>
      <c r="J1930" s="400"/>
      <c r="K1930" s="400"/>
      <c r="L1930" s="400"/>
      <c r="M1930" s="403"/>
      <c r="N1930" s="403"/>
      <c r="O1930" s="403"/>
      <c r="P1930" s="403"/>
      <c r="Q1930" s="63"/>
      <c r="R1930" s="64"/>
    </row>
    <row r="1931" spans="1:20" x14ac:dyDescent="0.2">
      <c r="A1931" s="83"/>
      <c r="B1931" s="69"/>
      <c r="C1931" s="324" t="s">
        <v>75</v>
      </c>
      <c r="D1931" s="408"/>
      <c r="E1931" s="409"/>
      <c r="F1931" s="400"/>
      <c r="G1931" s="400"/>
      <c r="H1931" s="400"/>
      <c r="I1931" s="400"/>
      <c r="J1931" s="400"/>
      <c r="K1931" s="400"/>
      <c r="L1931" s="400"/>
      <c r="M1931" s="70"/>
      <c r="N1931" s="70"/>
      <c r="O1931" s="70"/>
      <c r="P1931" s="70"/>
      <c r="Q1931" s="63"/>
      <c r="R1931" s="64"/>
    </row>
    <row r="1932" spans="1:20" x14ac:dyDescent="0.2">
      <c r="A1932" s="83"/>
      <c r="B1932" s="71"/>
      <c r="C1932" s="324" t="s">
        <v>128</v>
      </c>
      <c r="D1932" s="408"/>
      <c r="E1932" s="409"/>
      <c r="F1932" s="400"/>
      <c r="G1932" s="400"/>
      <c r="H1932" s="400"/>
      <c r="I1932" s="400"/>
      <c r="J1932" s="400"/>
      <c r="K1932" s="400"/>
      <c r="L1932" s="400"/>
      <c r="M1932" s="407" t="s">
        <v>256</v>
      </c>
      <c r="N1932" s="407"/>
      <c r="O1932" s="407"/>
      <c r="P1932" s="407"/>
      <c r="Q1932" s="63"/>
      <c r="R1932" s="64"/>
    </row>
    <row r="1933" spans="1:20" x14ac:dyDescent="0.2">
      <c r="A1933" s="83"/>
      <c r="B1933" s="56"/>
      <c r="C1933" s="324" t="s">
        <v>275</v>
      </c>
      <c r="D1933" s="408"/>
      <c r="E1933" s="409"/>
      <c r="F1933" s="400"/>
      <c r="G1933" s="400"/>
      <c r="H1933" s="400"/>
      <c r="I1933" s="400"/>
      <c r="J1933" s="400"/>
      <c r="K1933" s="400"/>
      <c r="L1933" s="400"/>
      <c r="M1933" s="407"/>
      <c r="N1933" s="407"/>
      <c r="O1933" s="407"/>
      <c r="P1933" s="407"/>
      <c r="Q1933" s="63"/>
      <c r="R1933" s="64"/>
    </row>
    <row r="1934" spans="1:20" x14ac:dyDescent="0.2">
      <c r="A1934" s="83"/>
      <c r="B1934" s="520"/>
      <c r="C1934" s="520"/>
      <c r="D1934" s="520"/>
      <c r="E1934" s="520"/>
      <c r="F1934" s="520"/>
      <c r="G1934" s="520"/>
      <c r="H1934" s="520"/>
      <c r="I1934" s="520"/>
      <c r="J1934" s="520"/>
      <c r="K1934" s="520"/>
      <c r="L1934" s="520"/>
      <c r="M1934" s="520"/>
      <c r="N1934" s="520"/>
      <c r="O1934" s="520"/>
      <c r="P1934" s="520"/>
      <c r="Q1934" s="63"/>
      <c r="R1934" s="64"/>
    </row>
    <row r="1935" spans="1:20" x14ac:dyDescent="0.2">
      <c r="A1935" s="83"/>
      <c r="B1935" s="432" t="s">
        <v>117</v>
      </c>
      <c r="C1935" s="433"/>
      <c r="D1935" s="434"/>
      <c r="E1935" s="442" t="str">
        <f>IF(AND($P$33&gt;=56,NOT(ISBLANK($E$10))),$E$10,"")</f>
        <v/>
      </c>
      <c r="F1935" s="443"/>
      <c r="G1935" s="444"/>
      <c r="H1935" s="414" t="s">
        <v>124</v>
      </c>
      <c r="I1935" s="415"/>
      <c r="J1935" s="442" t="str">
        <f>IF(AND($P$33&gt;=56,NOT(ISBLANK($J$10))),$J$10,"")</f>
        <v/>
      </c>
      <c r="K1935" s="443"/>
      <c r="L1935" s="444"/>
      <c r="M1935" s="414" t="s">
        <v>118</v>
      </c>
      <c r="N1935" s="415"/>
      <c r="O1935" s="430" t="str">
        <f>IF(AND($P$33&gt;=56,NOT(ISBLANK($O$10))),$O$10,"")</f>
        <v/>
      </c>
      <c r="P1935" s="521"/>
      <c r="Q1935" s="63"/>
      <c r="R1935" s="545" t="s">
        <v>307</v>
      </c>
      <c r="S1935" s="546"/>
      <c r="T1935" s="547"/>
    </row>
    <row r="1936" spans="1:20" x14ac:dyDescent="0.2">
      <c r="A1936" s="83"/>
      <c r="B1936" s="432" t="s">
        <v>240</v>
      </c>
      <c r="C1936" s="433"/>
      <c r="D1936" s="434"/>
      <c r="E1936" s="435" t="str">
        <f>IF(NOT($N1958=56),"",IF(ISERROR(LOOKUP(56,'Teacher Summary Sheet'!$M$19:$M$181)),"",IF(VLOOKUP(56,'Teacher Summary Sheet'!$M$19:$R$181,2)=0,"",VLOOKUP(56,'Teacher Summary Sheet'!$M$19:$R$181,2))))</f>
        <v/>
      </c>
      <c r="F1936" s="436"/>
      <c r="G1936" s="437"/>
      <c r="H1936" s="438" t="s">
        <v>119</v>
      </c>
      <c r="I1936" s="439"/>
      <c r="J1936" s="102" t="str">
        <f>IF(NOT($N1958=56),"",IF(ISERROR(LOOKUP(56,'Teacher Summary Sheet'!$M$19:$M$181)),"",IF(VLOOKUP(56,'Teacher Summary Sheet'!$M$19:$R$181,6)=0,"",VLOOKUP(56,'Teacher Summary Sheet'!$M$19:$R$181,6))))</f>
        <v/>
      </c>
      <c r="K1936" s="414" t="s">
        <v>179</v>
      </c>
      <c r="L1936" s="419"/>
      <c r="M1936" s="415"/>
      <c r="N1936" s="412" t="str">
        <f>IF(NOT($N1958=56),"",IF(ISERROR(LOOKUP(56,'Teacher Summary Sheet'!$M$19:$M$181)),"",IF('Teacher Summary Sheet'!$F$31=0,"",'Teacher Summary Sheet'!$F$31)))</f>
        <v/>
      </c>
      <c r="O1936" s="440"/>
      <c r="P1936" s="413"/>
      <c r="Q1936" s="63"/>
      <c r="R1936" s="548"/>
      <c r="S1936" s="549"/>
      <c r="T1936" s="550"/>
    </row>
    <row r="1937" spans="1:20" ht="14.25" x14ac:dyDescent="0.2">
      <c r="A1937" s="83"/>
      <c r="B1937" s="410" t="s">
        <v>241</v>
      </c>
      <c r="C1937" s="420"/>
      <c r="D1937" s="411"/>
      <c r="E1937" s="421" t="str">
        <f>IF(NOT($N1958=56),"",IF(ISERROR(LOOKUP(56,'Teacher Summary Sheet'!$M$19:$M$181)),"",IF(VLOOKUP(56,'Teacher Summary Sheet'!$M$19:$R$181,3)=0,"",VLOOKUP(56,'Teacher Summary Sheet'!$M$19:$R$181,3))))</f>
        <v/>
      </c>
      <c r="F1937" s="422"/>
      <c r="G1937" s="422"/>
      <c r="H1937" s="422"/>
      <c r="I1937" s="423"/>
      <c r="J1937" s="414" t="s">
        <v>124</v>
      </c>
      <c r="K1937" s="415"/>
      <c r="L1937" s="424" t="str">
        <f>IF(NOT($N1958=56),"",IF(ISERROR(LOOKUP(56,'Teacher Summary Sheet'!$M$19:$M$181)),"",IF(VLOOKUP(56,'Teacher Summary Sheet'!$M$19:$R$181,4)=0,"",VLOOKUP(56,'Teacher Summary Sheet'!$M$19:$R$181,4))))</f>
        <v/>
      </c>
      <c r="M1937" s="425"/>
      <c r="N1937" s="425"/>
      <c r="O1937" s="425"/>
      <c r="P1937" s="426"/>
      <c r="Q1937" s="63"/>
      <c r="R1937" s="125" t="str">
        <f>IF(NOT(N1958=56),"",IF(COUNTIF(R1939:R1945,"P")=7,"P","O"))</f>
        <v/>
      </c>
      <c r="S1937" s="110" t="str">
        <f>IF(NOT(N1958=56),"",IF(COUNTIF(R1939:R1945,"P")=7,"Complete","Incomplete"))</f>
        <v/>
      </c>
      <c r="T1937" s="111"/>
    </row>
    <row r="1938" spans="1:20" x14ac:dyDescent="0.2">
      <c r="A1938" s="83"/>
      <c r="B1938" s="410" t="s">
        <v>120</v>
      </c>
      <c r="C1938" s="420"/>
      <c r="D1938" s="411"/>
      <c r="E1938" s="427"/>
      <c r="F1938" s="428"/>
      <c r="G1938" s="428"/>
      <c r="H1938" s="428"/>
      <c r="I1938" s="428"/>
      <c r="J1938" s="429"/>
      <c r="K1938" s="62" t="s">
        <v>121</v>
      </c>
      <c r="L1938" s="427"/>
      <c r="M1938" s="428"/>
      <c r="N1938" s="428"/>
      <c r="O1938" s="428"/>
      <c r="P1938" s="429"/>
      <c r="Q1938" s="63"/>
    </row>
    <row r="1939" spans="1:20" ht="14.25" x14ac:dyDescent="0.2">
      <c r="A1939" s="83"/>
      <c r="B1939" s="410" t="s">
        <v>196</v>
      </c>
      <c r="C1939" s="420"/>
      <c r="D1939" s="411"/>
      <c r="E1939" s="427"/>
      <c r="F1939" s="428"/>
      <c r="G1939" s="428"/>
      <c r="H1939" s="428"/>
      <c r="I1939" s="429"/>
      <c r="J1939" s="73" t="s">
        <v>197</v>
      </c>
      <c r="K1939" s="405"/>
      <c r="L1939" s="406"/>
      <c r="M1939" s="414" t="s">
        <v>212</v>
      </c>
      <c r="N1939" s="415"/>
      <c r="O1939" s="405"/>
      <c r="P1939" s="406"/>
      <c r="Q1939" s="63"/>
      <c r="R1939" s="124" t="str">
        <f>IF(NOT(N1958=56),"",IF(OR(COUNTBLANK(E1937:E1937)=1,COUNTBLANK(L1937:L1937)=1),"O","P"))</f>
        <v/>
      </c>
      <c r="S1939" s="108" t="str">
        <f>IF(NOT(N1958=56),"","Candidate Name")</f>
        <v/>
      </c>
      <c r="T1939" s="64"/>
    </row>
    <row r="1940" spans="1:20" ht="14.25" x14ac:dyDescent="0.2">
      <c r="A1940" s="83"/>
      <c r="B1940" s="410" t="s">
        <v>198</v>
      </c>
      <c r="C1940" s="420"/>
      <c r="D1940" s="411"/>
      <c r="E1940" s="454"/>
      <c r="F1940" s="455"/>
      <c r="G1940" s="455"/>
      <c r="H1940" s="456"/>
      <c r="I1940" s="74" t="s">
        <v>199</v>
      </c>
      <c r="J1940" s="427"/>
      <c r="K1940" s="428"/>
      <c r="L1940" s="428"/>
      <c r="M1940" s="428"/>
      <c r="N1940" s="428"/>
      <c r="O1940" s="428"/>
      <c r="P1940" s="429"/>
      <c r="Q1940" s="63"/>
      <c r="R1940" s="124" t="str">
        <f>IF(NOT(N1958=56),"",IF(COUNTBLANK(E1936:E1936)=1,"O","P"))</f>
        <v/>
      </c>
      <c r="S1940" s="108" t="str">
        <f>IF(NOT(N1958=56),"","Candidate ID")</f>
        <v/>
      </c>
      <c r="T1940" s="64"/>
    </row>
    <row r="1941" spans="1:20" ht="14.25" x14ac:dyDescent="0.2">
      <c r="A1941" s="83"/>
      <c r="B1941" s="410" t="s">
        <v>227</v>
      </c>
      <c r="C1941" s="420"/>
      <c r="D1941" s="411"/>
      <c r="E1941" s="75" t="s">
        <v>218</v>
      </c>
      <c r="F1941" s="405"/>
      <c r="G1941" s="448"/>
      <c r="H1941" s="75" t="s">
        <v>138</v>
      </c>
      <c r="I1941" s="449"/>
      <c r="J1941" s="450"/>
      <c r="K1941" s="76" t="s">
        <v>139</v>
      </c>
      <c r="L1941" s="451"/>
      <c r="M1941" s="452"/>
      <c r="N1941" s="76" t="s">
        <v>228</v>
      </c>
      <c r="O1941" s="453" t="str">
        <f ca="1">IF(OR(ISBLANK(L1941),ISBLANK(I1941),ISBLANK(F1941),COUNTBLANK(J1936:J1936)=1),"",IF(DATEDIF(DATE(L1941,VLOOKUP(I1941,data!$T$2:$U$13,2,FALSE),F1941),IF(AND(TODAY()&lt;data!$AJ$12,TODAY()&gt;data!$AI$12),data!$AI$3,data!$AJ$3),"Y")&gt;=data!$AC$58,YEAR(TODAY())-L1941,data!$AD$3))</f>
        <v/>
      </c>
      <c r="P1941" s="413"/>
      <c r="Q1941" s="63"/>
      <c r="R1941" s="124" t="str">
        <f>IF(NOT(N1958=56),"",IF(OR(ISBLANK(E1938),ISBLANK(L1938),ISBLANK(K1939),ISBLANK(O1939)),"O","P"))</f>
        <v/>
      </c>
      <c r="S1941" s="108" t="str">
        <f>IF(NOT(N1958=56),"","Address")</f>
        <v/>
      </c>
      <c r="T1941" s="64"/>
    </row>
    <row r="1942" spans="1:20" ht="15" thickBot="1" x14ac:dyDescent="0.25">
      <c r="A1942" s="83"/>
      <c r="B1942" s="410" t="s">
        <v>214</v>
      </c>
      <c r="C1942" s="411"/>
      <c r="D1942" s="412" t="str">
        <f>IF(NOT($N1958=56),"",IF(ISERROR(LOOKUP(56,'Teacher Summary Sheet'!$M$19:$M$181)),"",IF(VLOOKUP(56,'Teacher Summary Sheet'!$M$19:$R$181,5)=0,"",VLOOKUP(56,'Teacher Summary Sheet'!$M$19:$R$181,5))))</f>
        <v/>
      </c>
      <c r="E1942" s="413"/>
      <c r="F1942" s="414" t="s">
        <v>319</v>
      </c>
      <c r="G1942" s="415"/>
      <c r="H1942" s="416"/>
      <c r="I1942" s="417"/>
      <c r="J1942" s="418"/>
      <c r="K1942" s="414" t="s">
        <v>320</v>
      </c>
      <c r="L1942" s="419"/>
      <c r="M1942" s="419"/>
      <c r="N1942" s="415"/>
      <c r="O1942" s="405" t="s">
        <v>268</v>
      </c>
      <c r="P1942" s="406"/>
      <c r="Q1942" s="63"/>
      <c r="R1942" s="124" t="str">
        <f>IF(NOT(N1958=56),"",IF(OR(ISBLANK(F1941),ISBLANK(I1941),ISBLANK(L1941)),"O","P"))</f>
        <v/>
      </c>
      <c r="S1942" s="108" t="str">
        <f>IF(NOT(N1958=56),"","Date of Birth")</f>
        <v/>
      </c>
      <c r="T1942" s="64"/>
    </row>
    <row r="1943" spans="1:20" ht="14.25" x14ac:dyDescent="0.2">
      <c r="A1943" s="83"/>
      <c r="B1943" s="522" t="s">
        <v>297</v>
      </c>
      <c r="C1943" s="463"/>
      <c r="D1943" s="463"/>
      <c r="E1943" s="463"/>
      <c r="F1943" s="463"/>
      <c r="G1943" s="463"/>
      <c r="H1943" s="463"/>
      <c r="I1943" s="463"/>
      <c r="J1943" s="463"/>
      <c r="K1943" s="463"/>
      <c r="L1943" s="463"/>
      <c r="M1943" s="463"/>
      <c r="N1943" s="463"/>
      <c r="O1943" s="463"/>
      <c r="P1943" s="464"/>
      <c r="Q1943" s="63"/>
      <c r="R1943" s="124" t="str">
        <f>IF(NOT(N1958=56),"",IF(COUNTBLANK(J1936:J1936)=1,"O","P"))</f>
        <v/>
      </c>
      <c r="S1943" s="112" t="str">
        <f>IF(NOT(N1958=56),"","Exam Level")</f>
        <v/>
      </c>
      <c r="T1943" s="64"/>
    </row>
    <row r="1944" spans="1:20" ht="14.25" x14ac:dyDescent="0.2">
      <c r="A1944" s="83"/>
      <c r="B1944" s="465"/>
      <c r="C1944" s="466"/>
      <c r="D1944" s="466"/>
      <c r="E1944" s="466"/>
      <c r="F1944" s="466"/>
      <c r="G1944" s="466"/>
      <c r="H1944" s="466"/>
      <c r="I1944" s="466"/>
      <c r="J1944" s="466"/>
      <c r="K1944" s="466"/>
      <c r="L1944" s="466"/>
      <c r="M1944" s="466"/>
      <c r="N1944" s="466"/>
      <c r="O1944" s="466"/>
      <c r="P1944" s="467"/>
      <c r="Q1944" s="63"/>
      <c r="R1944" s="124" t="str">
        <f>IF(NOT(N1958=56),"",IF(COUNTBLANK(D1942:D1942)=1,"O","P"))</f>
        <v/>
      </c>
      <c r="S1944" s="109" t="str">
        <f>IF(NOT(N1958=56),"","Gender")</f>
        <v/>
      </c>
      <c r="T1944" s="64"/>
    </row>
    <row r="1945" spans="1:20" ht="14.25" x14ac:dyDescent="0.2">
      <c r="A1945" s="83"/>
      <c r="B1945" s="432" t="s">
        <v>298</v>
      </c>
      <c r="C1945" s="433"/>
      <c r="D1945" s="434"/>
      <c r="E1945" s="405"/>
      <c r="F1945" s="406"/>
      <c r="G1945" s="432" t="s">
        <v>299</v>
      </c>
      <c r="H1945" s="433"/>
      <c r="I1945" s="434"/>
      <c r="J1945" s="405"/>
      <c r="K1945" s="448"/>
      <c r="L1945" s="406"/>
      <c r="M1945" s="414" t="s">
        <v>300</v>
      </c>
      <c r="N1945" s="415"/>
      <c r="O1945" s="457"/>
      <c r="P1945" s="458"/>
      <c r="Q1945" s="63"/>
      <c r="R1945" s="124" t="str">
        <f>IF(NOT(N1958=56),"",IF(ISBLANK(H1942),"O","P"))</f>
        <v/>
      </c>
      <c r="S1945" s="109" t="str">
        <f>IF(NOT(N1958=56),"","Height")</f>
        <v/>
      </c>
      <c r="T1945" s="64"/>
    </row>
    <row r="1946" spans="1:20" x14ac:dyDescent="0.2">
      <c r="A1946" s="83"/>
      <c r="B1946" s="77" t="s">
        <v>153</v>
      </c>
      <c r="C1946" s="405"/>
      <c r="D1946" s="406"/>
      <c r="E1946" s="414" t="s">
        <v>301</v>
      </c>
      <c r="F1946" s="415"/>
      <c r="G1946" s="459"/>
      <c r="H1946" s="460"/>
      <c r="I1946" s="461"/>
      <c r="J1946" s="414" t="s">
        <v>302</v>
      </c>
      <c r="K1946" s="415"/>
      <c r="L1946" s="454"/>
      <c r="M1946" s="455"/>
      <c r="N1946" s="455"/>
      <c r="O1946" s="455"/>
      <c r="P1946" s="456"/>
      <c r="Q1946" s="63"/>
      <c r="R1946" s="64"/>
      <c r="S1946" s="64"/>
      <c r="T1946" s="64"/>
    </row>
    <row r="1947" spans="1:20" x14ac:dyDescent="0.2">
      <c r="A1947" s="83"/>
      <c r="B1947" s="410" t="s">
        <v>116</v>
      </c>
      <c r="C1947" s="420"/>
      <c r="D1947" s="420"/>
      <c r="E1947" s="420"/>
      <c r="F1947" s="420"/>
      <c r="G1947" s="420"/>
      <c r="H1947" s="420"/>
      <c r="I1947" s="420"/>
      <c r="J1947" s="420"/>
      <c r="K1947" s="420"/>
      <c r="L1947" s="420"/>
      <c r="M1947" s="420"/>
      <c r="N1947" s="420"/>
      <c r="O1947" s="420"/>
      <c r="P1947" s="411"/>
      <c r="Q1947" s="63"/>
      <c r="R1947" s="64"/>
      <c r="S1947" s="64"/>
      <c r="T1947" s="64"/>
    </row>
    <row r="1948" spans="1:20" x14ac:dyDescent="0.2">
      <c r="A1948" s="83"/>
      <c r="B1948" s="410" t="s">
        <v>298</v>
      </c>
      <c r="C1948" s="420"/>
      <c r="D1948" s="411"/>
      <c r="E1948" s="405"/>
      <c r="F1948" s="406"/>
      <c r="G1948" s="410" t="s">
        <v>299</v>
      </c>
      <c r="H1948" s="420"/>
      <c r="I1948" s="411"/>
      <c r="J1948" s="454"/>
      <c r="K1948" s="455"/>
      <c r="L1948" s="456"/>
      <c r="M1948" s="414" t="s">
        <v>300</v>
      </c>
      <c r="N1948" s="415"/>
      <c r="O1948" s="457"/>
      <c r="P1948" s="458"/>
      <c r="Q1948" s="63"/>
      <c r="R1948" s="64"/>
    </row>
    <row r="1949" spans="1:20" ht="13.5" thickBot="1" x14ac:dyDescent="0.25">
      <c r="A1949" s="83"/>
      <c r="B1949" s="78" t="s">
        <v>153</v>
      </c>
      <c r="C1949" s="492"/>
      <c r="D1949" s="493"/>
      <c r="E1949" s="494" t="s">
        <v>301</v>
      </c>
      <c r="F1949" s="495"/>
      <c r="G1949" s="496"/>
      <c r="H1949" s="497"/>
      <c r="I1949" s="498"/>
      <c r="J1949" s="414" t="s">
        <v>302</v>
      </c>
      <c r="K1949" s="415"/>
      <c r="L1949" s="454"/>
      <c r="M1949" s="455"/>
      <c r="N1949" s="455"/>
      <c r="O1949" s="455"/>
      <c r="P1949" s="456"/>
      <c r="Q1949" s="63"/>
      <c r="R1949" s="64"/>
    </row>
    <row r="1950" spans="1:20" x14ac:dyDescent="0.2">
      <c r="A1950" s="83"/>
      <c r="B1950" s="499" t="s">
        <v>126</v>
      </c>
      <c r="C1950" s="500"/>
      <c r="D1950" s="500"/>
      <c r="E1950" s="500"/>
      <c r="F1950" s="500"/>
      <c r="G1950" s="500"/>
      <c r="H1950" s="500"/>
      <c r="I1950" s="501"/>
      <c r="J1950" s="505"/>
      <c r="K1950" s="506"/>
      <c r="L1950" s="506"/>
      <c r="M1950" s="506"/>
      <c r="N1950" s="506"/>
      <c r="O1950" s="506"/>
      <c r="P1950" s="507"/>
      <c r="Q1950" s="63"/>
      <c r="R1950" s="64"/>
    </row>
    <row r="1951" spans="1:20" x14ac:dyDescent="0.2">
      <c r="A1951" s="83"/>
      <c r="B1951" s="502"/>
      <c r="C1951" s="503"/>
      <c r="D1951" s="503"/>
      <c r="E1951" s="503"/>
      <c r="F1951" s="503"/>
      <c r="G1951" s="503"/>
      <c r="H1951" s="503"/>
      <c r="I1951" s="504"/>
      <c r="J1951" s="508"/>
      <c r="K1951" s="509"/>
      <c r="L1951" s="509"/>
      <c r="M1951" s="509"/>
      <c r="N1951" s="509"/>
      <c r="O1951" s="509"/>
      <c r="P1951" s="510"/>
      <c r="Q1951" s="63"/>
      <c r="R1951" s="64"/>
    </row>
    <row r="1952" spans="1:20" x14ac:dyDescent="0.2">
      <c r="A1952" s="83"/>
      <c r="B1952" s="514" t="s">
        <v>127</v>
      </c>
      <c r="C1952" s="515"/>
      <c r="D1952" s="515"/>
      <c r="E1952" s="515"/>
      <c r="F1952" s="515"/>
      <c r="G1952" s="515"/>
      <c r="H1952" s="515"/>
      <c r="I1952" s="516"/>
      <c r="J1952" s="508"/>
      <c r="K1952" s="509"/>
      <c r="L1952" s="509"/>
      <c r="M1952" s="509"/>
      <c r="N1952" s="509"/>
      <c r="O1952" s="509"/>
      <c r="P1952" s="510"/>
      <c r="Q1952" s="63"/>
      <c r="R1952" s="64"/>
    </row>
    <row r="1953" spans="1:18" ht="13.5" thickBot="1" x14ac:dyDescent="0.25">
      <c r="A1953" s="83"/>
      <c r="B1953" s="517"/>
      <c r="C1953" s="518"/>
      <c r="D1953" s="518"/>
      <c r="E1953" s="518"/>
      <c r="F1953" s="518"/>
      <c r="G1953" s="518"/>
      <c r="H1953" s="518"/>
      <c r="I1953" s="519"/>
      <c r="J1953" s="511"/>
      <c r="K1953" s="512"/>
      <c r="L1953" s="512"/>
      <c r="M1953" s="512"/>
      <c r="N1953" s="512"/>
      <c r="O1953" s="512"/>
      <c r="P1953" s="513"/>
      <c r="Q1953" s="63"/>
      <c r="R1953" s="64"/>
    </row>
    <row r="1954" spans="1:18" x14ac:dyDescent="0.2">
      <c r="A1954" s="83"/>
      <c r="B1954" s="480" t="s">
        <v>10</v>
      </c>
      <c r="C1954" s="481"/>
      <c r="D1954" s="481"/>
      <c r="E1954" s="481"/>
      <c r="F1954" s="481"/>
      <c r="G1954" s="481"/>
      <c r="H1954" s="481"/>
      <c r="I1954" s="482"/>
      <c r="J1954" s="79">
        <v>1</v>
      </c>
      <c r="K1954" s="483"/>
      <c r="L1954" s="484"/>
      <c r="M1954" s="484"/>
      <c r="N1954" s="484"/>
      <c r="O1954" s="484"/>
      <c r="P1954" s="485"/>
      <c r="Q1954" s="63"/>
      <c r="R1954" s="64"/>
    </row>
    <row r="1955" spans="1:18" x14ac:dyDescent="0.2">
      <c r="A1955" s="83"/>
      <c r="B1955" s="486" t="s">
        <v>276</v>
      </c>
      <c r="C1955" s="487"/>
      <c r="D1955" s="487"/>
      <c r="E1955" s="487"/>
      <c r="F1955" s="487"/>
      <c r="G1955" s="487"/>
      <c r="H1955" s="487"/>
      <c r="I1955" s="488"/>
      <c r="J1955" s="80">
        <v>2</v>
      </c>
      <c r="K1955" s="454"/>
      <c r="L1955" s="455"/>
      <c r="M1955" s="455"/>
      <c r="N1955" s="455"/>
      <c r="O1955" s="455"/>
      <c r="P1955" s="456"/>
      <c r="Q1955" s="63"/>
      <c r="R1955" s="64"/>
    </row>
    <row r="1956" spans="1:18" x14ac:dyDescent="0.2">
      <c r="A1956" s="83"/>
      <c r="B1956" s="489" t="s">
        <v>234</v>
      </c>
      <c r="C1956" s="490"/>
      <c r="D1956" s="490"/>
      <c r="E1956" s="490"/>
      <c r="F1956" s="490"/>
      <c r="G1956" s="490"/>
      <c r="H1956" s="490"/>
      <c r="I1956" s="491"/>
      <c r="J1956" s="80">
        <v>3</v>
      </c>
      <c r="K1956" s="454"/>
      <c r="L1956" s="455"/>
      <c r="M1956" s="455"/>
      <c r="N1956" s="455"/>
      <c r="O1956" s="455"/>
      <c r="P1956" s="456"/>
      <c r="Q1956" s="63"/>
      <c r="R1956" s="64"/>
    </row>
    <row r="1957" spans="1:18" x14ac:dyDescent="0.2">
      <c r="A1957" s="83"/>
      <c r="B1957" s="468"/>
      <c r="C1957" s="468"/>
      <c r="D1957" s="468"/>
      <c r="E1957" s="468"/>
      <c r="F1957" s="468"/>
      <c r="G1957" s="468"/>
      <c r="H1957" s="468"/>
      <c r="I1957" s="468"/>
      <c r="J1957" s="468"/>
      <c r="K1957" s="468"/>
      <c r="L1957" s="468"/>
      <c r="M1957" s="468"/>
      <c r="N1957" s="468"/>
      <c r="O1957" s="468"/>
      <c r="P1957" s="468"/>
      <c r="Q1957" s="63"/>
      <c r="R1957" s="64"/>
    </row>
    <row r="1958" spans="1:18" ht="12" customHeight="1" x14ac:dyDescent="0.2">
      <c r="A1958" s="83"/>
      <c r="B1958" s="469" t="s">
        <v>84</v>
      </c>
      <c r="C1958" s="471" t="str">
        <f>IF(CODE(B1958)=89,"This candidate would like to receive Special","This candidate would not like to receive Special")</f>
        <v>This candidate would like to receive Special</v>
      </c>
      <c r="D1958" s="472"/>
      <c r="E1958" s="472"/>
      <c r="F1958" s="472"/>
      <c r="G1958" s="472"/>
      <c r="H1958" s="472"/>
      <c r="I1958" s="473"/>
      <c r="J1958" s="81"/>
      <c r="K1958" s="474" t="s">
        <v>205</v>
      </c>
      <c r="L1958" s="474"/>
      <c r="M1958" s="475"/>
      <c r="N1958" s="51" t="str">
        <f>IF($P$33&gt;=56,56,"")</f>
        <v/>
      </c>
      <c r="O1958" s="62" t="s">
        <v>52</v>
      </c>
      <c r="P1958" s="51" t="str">
        <f>IF($P$33&gt;=56,$P$33,"")</f>
        <v/>
      </c>
      <c r="Q1958" s="63"/>
      <c r="R1958" s="64"/>
    </row>
    <row r="1959" spans="1:18" ht="12" customHeight="1" x14ac:dyDescent="0.2">
      <c r="A1959" s="83"/>
      <c r="B1959" s="470"/>
      <c r="C1959" s="476" t="str">
        <f>IF(CODE(B1958)=89,"Announcements and Bulletins from RAD Canada","Announcements and Bulletins from RAD Canada")</f>
        <v>Announcements and Bulletins from RAD Canada</v>
      </c>
      <c r="D1959" s="477"/>
      <c r="E1959" s="477"/>
      <c r="F1959" s="477"/>
      <c r="G1959" s="477"/>
      <c r="H1959" s="477"/>
      <c r="I1959" s="478"/>
      <c r="J1959" s="479"/>
      <c r="K1959" s="400"/>
      <c r="L1959" s="400"/>
      <c r="M1959" s="400"/>
      <c r="N1959" s="400"/>
      <c r="O1959" s="400"/>
      <c r="P1959" s="400"/>
      <c r="Q1959" s="63"/>
      <c r="R1959" s="64"/>
    </row>
    <row r="1960" spans="1:18" x14ac:dyDescent="0.2">
      <c r="A1960" s="83"/>
      <c r="B1960" s="81"/>
      <c r="C1960" s="81"/>
      <c r="D1960" s="81"/>
      <c r="E1960" s="81"/>
      <c r="F1960" s="81"/>
      <c r="G1960" s="81"/>
      <c r="H1960" s="81"/>
      <c r="I1960" s="81"/>
      <c r="J1960" s="81"/>
      <c r="K1960" s="81"/>
      <c r="L1960" s="81"/>
      <c r="M1960" s="81"/>
      <c r="N1960" s="81"/>
      <c r="O1960" s="81"/>
      <c r="P1960" s="81"/>
      <c r="Q1960" s="63"/>
      <c r="R1960" s="64"/>
    </row>
    <row r="1961" spans="1:18" x14ac:dyDescent="0.2">
      <c r="A1961" s="83"/>
      <c r="B1961" s="62"/>
      <c r="C1961" s="62"/>
      <c r="D1961" s="62"/>
      <c r="E1961" s="62"/>
      <c r="F1961" s="62"/>
      <c r="G1961" s="62"/>
      <c r="H1961" s="62"/>
      <c r="I1961" s="62"/>
      <c r="J1961" s="62"/>
      <c r="K1961" s="62"/>
      <c r="L1961" s="62"/>
      <c r="M1961" s="62"/>
      <c r="N1961" s="62"/>
      <c r="O1961" s="62"/>
      <c r="P1961" s="62"/>
      <c r="Q1961" s="63"/>
      <c r="R1961" s="64"/>
    </row>
    <row r="1962" spans="1:18" x14ac:dyDescent="0.2">
      <c r="A1962" s="83"/>
      <c r="B1962" s="401" t="s">
        <v>233</v>
      </c>
      <c r="C1962" s="402"/>
      <c r="D1962" s="402"/>
      <c r="E1962" s="402"/>
      <c r="F1962" s="402"/>
      <c r="G1962" s="402"/>
      <c r="H1962" s="62"/>
      <c r="I1962" s="62"/>
      <c r="J1962" s="62"/>
      <c r="K1962" s="62"/>
      <c r="L1962" s="62"/>
      <c r="M1962" s="62"/>
      <c r="N1962" s="62"/>
      <c r="O1962" s="62"/>
      <c r="P1962" s="62"/>
      <c r="Q1962" s="63"/>
      <c r="R1962" s="64"/>
    </row>
    <row r="1963" spans="1:18" ht="15.75" x14ac:dyDescent="0.25">
      <c r="A1963" s="83"/>
      <c r="B1963" s="402"/>
      <c r="C1963" s="402"/>
      <c r="D1963" s="402"/>
      <c r="E1963" s="402"/>
      <c r="F1963" s="402"/>
      <c r="G1963" s="402"/>
      <c r="H1963" s="82"/>
      <c r="I1963" s="403"/>
      <c r="J1963" s="403"/>
      <c r="K1963" s="403"/>
      <c r="L1963" s="403"/>
      <c r="M1963" s="403"/>
      <c r="N1963" s="403"/>
      <c r="O1963" s="403"/>
      <c r="P1963" s="403"/>
      <c r="Q1963" s="63"/>
      <c r="R1963" s="64"/>
    </row>
    <row r="1964" spans="1:18" x14ac:dyDescent="0.2">
      <c r="A1964" s="83"/>
      <c r="B1964" s="400"/>
      <c r="C1964" s="400"/>
      <c r="D1964" s="400"/>
      <c r="E1964" s="400"/>
      <c r="F1964" s="400"/>
      <c r="G1964" s="400"/>
      <c r="H1964" s="400"/>
      <c r="I1964" s="400"/>
      <c r="J1964" s="400"/>
      <c r="K1964" s="400"/>
      <c r="L1964" s="400"/>
      <c r="M1964" s="403"/>
      <c r="N1964" s="403"/>
      <c r="O1964" s="403"/>
      <c r="P1964" s="403"/>
      <c r="Q1964" s="63"/>
      <c r="R1964" s="64"/>
    </row>
    <row r="1965" spans="1:18" x14ac:dyDescent="0.2">
      <c r="A1965" s="83"/>
      <c r="B1965" s="404" t="s">
        <v>260</v>
      </c>
      <c r="C1965" s="404"/>
      <c r="D1965" s="404"/>
      <c r="E1965" s="404"/>
      <c r="F1965" s="400"/>
      <c r="G1965" s="400"/>
      <c r="H1965" s="400"/>
      <c r="I1965" s="400"/>
      <c r="J1965" s="400"/>
      <c r="K1965" s="400"/>
      <c r="L1965" s="400"/>
      <c r="M1965" s="403"/>
      <c r="N1965" s="403"/>
      <c r="O1965" s="403"/>
      <c r="P1965" s="403"/>
      <c r="Q1965" s="63"/>
      <c r="R1965" s="64"/>
    </row>
    <row r="1966" spans="1:18" x14ac:dyDescent="0.2">
      <c r="A1966" s="83"/>
      <c r="B1966" s="69"/>
      <c r="C1966" s="324" t="s">
        <v>75</v>
      </c>
      <c r="D1966" s="408"/>
      <c r="E1966" s="409"/>
      <c r="F1966" s="400"/>
      <c r="G1966" s="400"/>
      <c r="H1966" s="400"/>
      <c r="I1966" s="400"/>
      <c r="J1966" s="400"/>
      <c r="K1966" s="400"/>
      <c r="L1966" s="400"/>
      <c r="M1966" s="70"/>
      <c r="N1966" s="70"/>
      <c r="O1966" s="70"/>
      <c r="P1966" s="70"/>
      <c r="Q1966" s="63"/>
      <c r="R1966" s="64"/>
    </row>
    <row r="1967" spans="1:18" x14ac:dyDescent="0.2">
      <c r="A1967" s="83"/>
      <c r="B1967" s="71"/>
      <c r="C1967" s="324" t="s">
        <v>128</v>
      </c>
      <c r="D1967" s="408"/>
      <c r="E1967" s="409"/>
      <c r="F1967" s="400"/>
      <c r="G1967" s="400"/>
      <c r="H1967" s="400"/>
      <c r="I1967" s="400"/>
      <c r="J1967" s="400"/>
      <c r="K1967" s="400"/>
      <c r="L1967" s="400"/>
      <c r="M1967" s="407" t="s">
        <v>256</v>
      </c>
      <c r="N1967" s="407"/>
      <c r="O1967" s="407"/>
      <c r="P1967" s="407"/>
      <c r="Q1967" s="63"/>
      <c r="R1967" s="64"/>
    </row>
    <row r="1968" spans="1:18" x14ac:dyDescent="0.2">
      <c r="A1968" s="83"/>
      <c r="B1968" s="56"/>
      <c r="C1968" s="324" t="s">
        <v>275</v>
      </c>
      <c r="D1968" s="408"/>
      <c r="E1968" s="409"/>
      <c r="F1968" s="400"/>
      <c r="G1968" s="400"/>
      <c r="H1968" s="400"/>
      <c r="I1968" s="400"/>
      <c r="J1968" s="400"/>
      <c r="K1968" s="400"/>
      <c r="L1968" s="400"/>
      <c r="M1968" s="407"/>
      <c r="N1968" s="407"/>
      <c r="O1968" s="407"/>
      <c r="P1968" s="407"/>
      <c r="Q1968" s="63"/>
      <c r="R1968" s="64"/>
    </row>
    <row r="1969" spans="1:20" x14ac:dyDescent="0.2">
      <c r="A1969" s="83"/>
      <c r="B1969" s="520"/>
      <c r="C1969" s="520"/>
      <c r="D1969" s="520"/>
      <c r="E1969" s="520"/>
      <c r="F1969" s="520"/>
      <c r="G1969" s="520"/>
      <c r="H1969" s="520"/>
      <c r="I1969" s="520"/>
      <c r="J1969" s="520"/>
      <c r="K1969" s="520"/>
      <c r="L1969" s="520"/>
      <c r="M1969" s="520"/>
      <c r="N1969" s="520"/>
      <c r="O1969" s="520"/>
      <c r="P1969" s="520"/>
      <c r="Q1969" s="63"/>
      <c r="R1969" s="64"/>
    </row>
    <row r="1970" spans="1:20" x14ac:dyDescent="0.2">
      <c r="A1970" s="83"/>
      <c r="B1970" s="432" t="s">
        <v>117</v>
      </c>
      <c r="C1970" s="433"/>
      <c r="D1970" s="434"/>
      <c r="E1970" s="442" t="str">
        <f>IF(AND($P$33&gt;=57,NOT(ISBLANK($E$10))),$E$10,"")</f>
        <v/>
      </c>
      <c r="F1970" s="443"/>
      <c r="G1970" s="444"/>
      <c r="H1970" s="414" t="s">
        <v>124</v>
      </c>
      <c r="I1970" s="415"/>
      <c r="J1970" s="442" t="str">
        <f>IF(AND($P$33&gt;=57,NOT(ISBLANK($J$10))),$J$10,"")</f>
        <v/>
      </c>
      <c r="K1970" s="443"/>
      <c r="L1970" s="444"/>
      <c r="M1970" s="414" t="s">
        <v>118</v>
      </c>
      <c r="N1970" s="415"/>
      <c r="O1970" s="430" t="str">
        <f>IF(AND($P$33&gt;=57,NOT(ISBLANK($O$10))),$O$10,"")</f>
        <v/>
      </c>
      <c r="P1970" s="521"/>
      <c r="Q1970" s="63"/>
      <c r="R1970" s="545" t="s">
        <v>307</v>
      </c>
      <c r="S1970" s="546"/>
      <c r="T1970" s="547"/>
    </row>
    <row r="1971" spans="1:20" x14ac:dyDescent="0.2">
      <c r="A1971" s="83"/>
      <c r="B1971" s="432" t="s">
        <v>240</v>
      </c>
      <c r="C1971" s="433"/>
      <c r="D1971" s="434"/>
      <c r="E1971" s="435" t="str">
        <f>IF(NOT($N1993=57),"",IF(ISERROR(LOOKUP(57,'Teacher Summary Sheet'!$M$19:$M$181)),"",IF(VLOOKUP(57,'Teacher Summary Sheet'!$M$19:$R$181,2)=0,"",VLOOKUP(57,'Teacher Summary Sheet'!$M$19:$R$181,2))))</f>
        <v/>
      </c>
      <c r="F1971" s="436"/>
      <c r="G1971" s="437"/>
      <c r="H1971" s="438" t="s">
        <v>119</v>
      </c>
      <c r="I1971" s="439"/>
      <c r="J1971" s="102" t="str">
        <f>IF(NOT($N1993=57),"",IF(ISERROR(LOOKUP(57,'Teacher Summary Sheet'!$M$19:$M$181)),"",IF(VLOOKUP(57,'Teacher Summary Sheet'!$M$19:$R$181,6)=0,"",VLOOKUP(57,'Teacher Summary Sheet'!$M$19:$R$181,6))))</f>
        <v/>
      </c>
      <c r="K1971" s="414" t="s">
        <v>179</v>
      </c>
      <c r="L1971" s="419"/>
      <c r="M1971" s="415"/>
      <c r="N1971" s="412" t="str">
        <f>IF(NOT($N1993=57),"",IF(ISERROR(LOOKUP(57,'Teacher Summary Sheet'!$M$19:$M$181)),"",IF('Teacher Summary Sheet'!$F$31=0,"",'Teacher Summary Sheet'!$F$31)))</f>
        <v/>
      </c>
      <c r="O1971" s="440"/>
      <c r="P1971" s="413"/>
      <c r="Q1971" s="63"/>
      <c r="R1971" s="548"/>
      <c r="S1971" s="549"/>
      <c r="T1971" s="550"/>
    </row>
    <row r="1972" spans="1:20" ht="14.25" x14ac:dyDescent="0.2">
      <c r="A1972" s="83"/>
      <c r="B1972" s="410" t="s">
        <v>241</v>
      </c>
      <c r="C1972" s="420"/>
      <c r="D1972" s="411"/>
      <c r="E1972" s="421" t="str">
        <f>IF(NOT($N1993=57),"",IF(ISERROR(LOOKUP(57,'Teacher Summary Sheet'!$M$19:$M$181)),"",IF(VLOOKUP(57,'Teacher Summary Sheet'!$M$19:$R$181,3)=0,"",VLOOKUP(57,'Teacher Summary Sheet'!$M$19:$R$181,3))))</f>
        <v/>
      </c>
      <c r="F1972" s="422"/>
      <c r="G1972" s="422"/>
      <c r="H1972" s="422"/>
      <c r="I1972" s="423"/>
      <c r="J1972" s="414" t="s">
        <v>124</v>
      </c>
      <c r="K1972" s="415"/>
      <c r="L1972" s="424" t="str">
        <f>IF(NOT($N1993=57),"",IF(ISERROR(LOOKUP(57,'Teacher Summary Sheet'!$M$19:$M$181)),"",IF(VLOOKUP(57,'Teacher Summary Sheet'!$M$19:$R$181,4)=0,"",VLOOKUP(57,'Teacher Summary Sheet'!$M$19:$R$181,4))))</f>
        <v/>
      </c>
      <c r="M1972" s="425"/>
      <c r="N1972" s="425"/>
      <c r="O1972" s="425"/>
      <c r="P1972" s="426"/>
      <c r="Q1972" s="63"/>
      <c r="R1972" s="125" t="str">
        <f>IF(NOT(N1993=57),"",IF(COUNTIF(R1974:R1980,"P")=7,"P","O"))</f>
        <v/>
      </c>
      <c r="S1972" s="110" t="str">
        <f>IF(NOT(N1993=57),"",IF(COUNTIF(R1974:R1980,"P")=7,"Complete","Incomplete"))</f>
        <v/>
      </c>
      <c r="T1972" s="111"/>
    </row>
    <row r="1973" spans="1:20" x14ac:dyDescent="0.2">
      <c r="A1973" s="83"/>
      <c r="B1973" s="410" t="s">
        <v>120</v>
      </c>
      <c r="C1973" s="420"/>
      <c r="D1973" s="411"/>
      <c r="E1973" s="427"/>
      <c r="F1973" s="428"/>
      <c r="G1973" s="428"/>
      <c r="H1973" s="428"/>
      <c r="I1973" s="428"/>
      <c r="J1973" s="429"/>
      <c r="K1973" s="62" t="s">
        <v>121</v>
      </c>
      <c r="L1973" s="427"/>
      <c r="M1973" s="428"/>
      <c r="N1973" s="428"/>
      <c r="O1973" s="428"/>
      <c r="P1973" s="429"/>
      <c r="Q1973" s="63"/>
    </row>
    <row r="1974" spans="1:20" ht="14.25" x14ac:dyDescent="0.2">
      <c r="A1974" s="83"/>
      <c r="B1974" s="410" t="s">
        <v>196</v>
      </c>
      <c r="C1974" s="420"/>
      <c r="D1974" s="411"/>
      <c r="E1974" s="427"/>
      <c r="F1974" s="428"/>
      <c r="G1974" s="428"/>
      <c r="H1974" s="428"/>
      <c r="I1974" s="429"/>
      <c r="J1974" s="73" t="s">
        <v>197</v>
      </c>
      <c r="K1974" s="405"/>
      <c r="L1974" s="406"/>
      <c r="M1974" s="414" t="s">
        <v>212</v>
      </c>
      <c r="N1974" s="415"/>
      <c r="O1974" s="405"/>
      <c r="P1974" s="406"/>
      <c r="Q1974" s="63"/>
      <c r="R1974" s="124" t="str">
        <f>IF(NOT(N1993=57),"",IF(OR(COUNTBLANK(E1972:E1972)=1,COUNTBLANK(L1972:L1972)=1),"O","P"))</f>
        <v/>
      </c>
      <c r="S1974" s="108" t="str">
        <f>IF(NOT(N1993=57),"","Candidate Name")</f>
        <v/>
      </c>
      <c r="T1974" s="64"/>
    </row>
    <row r="1975" spans="1:20" ht="14.25" x14ac:dyDescent="0.2">
      <c r="A1975" s="83"/>
      <c r="B1975" s="410" t="s">
        <v>198</v>
      </c>
      <c r="C1975" s="420"/>
      <c r="D1975" s="411"/>
      <c r="E1975" s="454"/>
      <c r="F1975" s="455"/>
      <c r="G1975" s="455"/>
      <c r="H1975" s="456"/>
      <c r="I1975" s="74" t="s">
        <v>199</v>
      </c>
      <c r="J1975" s="427"/>
      <c r="K1975" s="428"/>
      <c r="L1975" s="428"/>
      <c r="M1975" s="428"/>
      <c r="N1975" s="428"/>
      <c r="O1975" s="428"/>
      <c r="P1975" s="429"/>
      <c r="Q1975" s="63"/>
      <c r="R1975" s="124" t="str">
        <f>IF(NOT(N1993=57),"",IF(COUNTBLANK(E1971:E1971)=1,"O","P"))</f>
        <v/>
      </c>
      <c r="S1975" s="108" t="str">
        <f>IF(NOT(N1993=57),"","Candidate ID")</f>
        <v/>
      </c>
      <c r="T1975" s="64"/>
    </row>
    <row r="1976" spans="1:20" ht="14.25" x14ac:dyDescent="0.2">
      <c r="A1976" s="83"/>
      <c r="B1976" s="410" t="s">
        <v>227</v>
      </c>
      <c r="C1976" s="420"/>
      <c r="D1976" s="411"/>
      <c r="E1976" s="75" t="s">
        <v>218</v>
      </c>
      <c r="F1976" s="405"/>
      <c r="G1976" s="448"/>
      <c r="H1976" s="75" t="s">
        <v>138</v>
      </c>
      <c r="I1976" s="449"/>
      <c r="J1976" s="450"/>
      <c r="K1976" s="76" t="s">
        <v>139</v>
      </c>
      <c r="L1976" s="451"/>
      <c r="M1976" s="452"/>
      <c r="N1976" s="76" t="s">
        <v>228</v>
      </c>
      <c r="O1976" s="453" t="str">
        <f ca="1">IF(OR(ISBLANK(L1976),ISBLANK(I1976),ISBLANK(F1976),COUNTBLANK(J1971:J1971)=1),"",IF(DATEDIF(DATE(L1976,VLOOKUP(I1976,data!$T$2:$U$13,2,FALSE),F1976),IF(AND(TODAY()&lt;data!$AJ$12,TODAY()&gt;data!$AI$12),data!$AI$3,data!$AJ$3),"Y")&gt;=data!$AC$59,YEAR(TODAY())-L1976,data!$AD$3))</f>
        <v/>
      </c>
      <c r="P1976" s="413"/>
      <c r="Q1976" s="63"/>
      <c r="R1976" s="124" t="str">
        <f>IF(NOT(N1993=57),"",IF(OR(ISBLANK(E1973),ISBLANK(L1973),ISBLANK(K1974),ISBLANK(O1974)),"O","P"))</f>
        <v/>
      </c>
      <c r="S1976" s="108" t="str">
        <f>IF(NOT(N1993=57),"","Address")</f>
        <v/>
      </c>
      <c r="T1976" s="64"/>
    </row>
    <row r="1977" spans="1:20" ht="15" thickBot="1" x14ac:dyDescent="0.25">
      <c r="A1977" s="83"/>
      <c r="B1977" s="410" t="s">
        <v>214</v>
      </c>
      <c r="C1977" s="411"/>
      <c r="D1977" s="412" t="str">
        <f>IF(NOT($N1993=57),"",IF(ISERROR(LOOKUP(57,'Teacher Summary Sheet'!$M$19:$M$181)),"",IF(VLOOKUP(57,'Teacher Summary Sheet'!$M$19:$R$181,5)=0,"",VLOOKUP(57,'Teacher Summary Sheet'!$M$19:$R$181,5))))</f>
        <v/>
      </c>
      <c r="E1977" s="413"/>
      <c r="F1977" s="414" t="s">
        <v>319</v>
      </c>
      <c r="G1977" s="415"/>
      <c r="H1977" s="416"/>
      <c r="I1977" s="417"/>
      <c r="J1977" s="418"/>
      <c r="K1977" s="414" t="s">
        <v>320</v>
      </c>
      <c r="L1977" s="419"/>
      <c r="M1977" s="419"/>
      <c r="N1977" s="415"/>
      <c r="O1977" s="405" t="s">
        <v>268</v>
      </c>
      <c r="P1977" s="406"/>
      <c r="Q1977" s="63"/>
      <c r="R1977" s="124" t="str">
        <f>IF(NOT(N1993=57),"",IF(OR(ISBLANK(F1976),ISBLANK(I1976),ISBLANK(L1976)),"O","P"))</f>
        <v/>
      </c>
      <c r="S1977" s="108" t="str">
        <f>IF(NOT(N1993=57),"","Date of Birth")</f>
        <v/>
      </c>
      <c r="T1977" s="64"/>
    </row>
    <row r="1978" spans="1:20" ht="14.25" x14ac:dyDescent="0.2">
      <c r="A1978" s="83"/>
      <c r="B1978" s="522" t="s">
        <v>297</v>
      </c>
      <c r="C1978" s="463"/>
      <c r="D1978" s="463"/>
      <c r="E1978" s="463"/>
      <c r="F1978" s="463"/>
      <c r="G1978" s="463"/>
      <c r="H1978" s="463"/>
      <c r="I1978" s="463"/>
      <c r="J1978" s="463"/>
      <c r="K1978" s="463"/>
      <c r="L1978" s="463"/>
      <c r="M1978" s="463"/>
      <c r="N1978" s="463"/>
      <c r="O1978" s="463"/>
      <c r="P1978" s="464"/>
      <c r="Q1978" s="63"/>
      <c r="R1978" s="124" t="str">
        <f>IF(NOT(N1993=57),"",IF(COUNTBLANK(J1971:J1971)=1,"O","P"))</f>
        <v/>
      </c>
      <c r="S1978" s="112" t="str">
        <f>IF(NOT(N1993=57),"","Exam Level")</f>
        <v/>
      </c>
      <c r="T1978" s="64"/>
    </row>
    <row r="1979" spans="1:20" ht="14.25" x14ac:dyDescent="0.2">
      <c r="A1979" s="83"/>
      <c r="B1979" s="465"/>
      <c r="C1979" s="466"/>
      <c r="D1979" s="466"/>
      <c r="E1979" s="466"/>
      <c r="F1979" s="466"/>
      <c r="G1979" s="466"/>
      <c r="H1979" s="466"/>
      <c r="I1979" s="466"/>
      <c r="J1979" s="466"/>
      <c r="K1979" s="466"/>
      <c r="L1979" s="466"/>
      <c r="M1979" s="466"/>
      <c r="N1979" s="466"/>
      <c r="O1979" s="466"/>
      <c r="P1979" s="467"/>
      <c r="Q1979" s="63"/>
      <c r="R1979" s="124" t="str">
        <f>IF(NOT(N1993=57),"",IF(COUNTBLANK(D1977:D1977)=1,"O","P"))</f>
        <v/>
      </c>
      <c r="S1979" s="109" t="str">
        <f>IF(NOT(N1993=57),"","Gender")</f>
        <v/>
      </c>
      <c r="T1979" s="64"/>
    </row>
    <row r="1980" spans="1:20" ht="14.25" x14ac:dyDescent="0.2">
      <c r="A1980" s="83"/>
      <c r="B1980" s="432" t="s">
        <v>298</v>
      </c>
      <c r="C1980" s="433"/>
      <c r="D1980" s="434"/>
      <c r="E1980" s="405"/>
      <c r="F1980" s="406"/>
      <c r="G1980" s="432" t="s">
        <v>299</v>
      </c>
      <c r="H1980" s="433"/>
      <c r="I1980" s="434"/>
      <c r="J1980" s="405"/>
      <c r="K1980" s="448"/>
      <c r="L1980" s="406"/>
      <c r="M1980" s="414" t="s">
        <v>300</v>
      </c>
      <c r="N1980" s="415"/>
      <c r="O1980" s="457"/>
      <c r="P1980" s="458"/>
      <c r="Q1980" s="63"/>
      <c r="R1980" s="124" t="str">
        <f>IF(NOT(N1993=57),"",IF(ISBLANK(H1977),"O","P"))</f>
        <v/>
      </c>
      <c r="S1980" s="109" t="str">
        <f>IF(NOT(N1993=57),"","Height")</f>
        <v/>
      </c>
      <c r="T1980" s="64"/>
    </row>
    <row r="1981" spans="1:20" x14ac:dyDescent="0.2">
      <c r="A1981" s="83"/>
      <c r="B1981" s="77" t="s">
        <v>153</v>
      </c>
      <c r="C1981" s="405"/>
      <c r="D1981" s="406"/>
      <c r="E1981" s="414" t="s">
        <v>301</v>
      </c>
      <c r="F1981" s="415"/>
      <c r="G1981" s="459"/>
      <c r="H1981" s="460"/>
      <c r="I1981" s="461"/>
      <c r="J1981" s="414" t="s">
        <v>302</v>
      </c>
      <c r="K1981" s="415"/>
      <c r="L1981" s="454"/>
      <c r="M1981" s="455"/>
      <c r="N1981" s="455"/>
      <c r="O1981" s="455"/>
      <c r="P1981" s="456"/>
      <c r="Q1981" s="63"/>
      <c r="R1981" s="64"/>
      <c r="S1981" s="64"/>
      <c r="T1981" s="64"/>
    </row>
    <row r="1982" spans="1:20" x14ac:dyDescent="0.2">
      <c r="A1982" s="83"/>
      <c r="B1982" s="410" t="s">
        <v>116</v>
      </c>
      <c r="C1982" s="420"/>
      <c r="D1982" s="420"/>
      <c r="E1982" s="420"/>
      <c r="F1982" s="420"/>
      <c r="G1982" s="420"/>
      <c r="H1982" s="420"/>
      <c r="I1982" s="420"/>
      <c r="J1982" s="420"/>
      <c r="K1982" s="420"/>
      <c r="L1982" s="420"/>
      <c r="M1982" s="420"/>
      <c r="N1982" s="420"/>
      <c r="O1982" s="420"/>
      <c r="P1982" s="411"/>
      <c r="Q1982" s="63"/>
      <c r="R1982" s="64"/>
      <c r="S1982" s="64"/>
      <c r="T1982" s="64"/>
    </row>
    <row r="1983" spans="1:20" x14ac:dyDescent="0.2">
      <c r="A1983" s="83"/>
      <c r="B1983" s="410" t="s">
        <v>298</v>
      </c>
      <c r="C1983" s="420"/>
      <c r="D1983" s="411"/>
      <c r="E1983" s="405"/>
      <c r="F1983" s="406"/>
      <c r="G1983" s="410" t="s">
        <v>299</v>
      </c>
      <c r="H1983" s="420"/>
      <c r="I1983" s="411"/>
      <c r="J1983" s="454"/>
      <c r="K1983" s="455"/>
      <c r="L1983" s="456"/>
      <c r="M1983" s="414" t="s">
        <v>300</v>
      </c>
      <c r="N1983" s="415"/>
      <c r="O1983" s="457"/>
      <c r="P1983" s="458"/>
      <c r="Q1983" s="63"/>
      <c r="R1983" s="64"/>
    </row>
    <row r="1984" spans="1:20" ht="13.5" thickBot="1" x14ac:dyDescent="0.25">
      <c r="A1984" s="83"/>
      <c r="B1984" s="78" t="s">
        <v>153</v>
      </c>
      <c r="C1984" s="492"/>
      <c r="D1984" s="493"/>
      <c r="E1984" s="494" t="s">
        <v>301</v>
      </c>
      <c r="F1984" s="495"/>
      <c r="G1984" s="496"/>
      <c r="H1984" s="497"/>
      <c r="I1984" s="498"/>
      <c r="J1984" s="414" t="s">
        <v>302</v>
      </c>
      <c r="K1984" s="415"/>
      <c r="L1984" s="454"/>
      <c r="M1984" s="455"/>
      <c r="N1984" s="455"/>
      <c r="O1984" s="455"/>
      <c r="P1984" s="456"/>
      <c r="Q1984" s="63"/>
      <c r="R1984" s="64"/>
    </row>
    <row r="1985" spans="1:18" x14ac:dyDescent="0.2">
      <c r="A1985" s="83"/>
      <c r="B1985" s="499" t="s">
        <v>126</v>
      </c>
      <c r="C1985" s="500"/>
      <c r="D1985" s="500"/>
      <c r="E1985" s="500"/>
      <c r="F1985" s="500"/>
      <c r="G1985" s="500"/>
      <c r="H1985" s="500"/>
      <c r="I1985" s="501"/>
      <c r="J1985" s="505"/>
      <c r="K1985" s="506"/>
      <c r="L1985" s="506"/>
      <c r="M1985" s="506"/>
      <c r="N1985" s="506"/>
      <c r="O1985" s="506"/>
      <c r="P1985" s="507"/>
      <c r="Q1985" s="63"/>
      <c r="R1985" s="64"/>
    </row>
    <row r="1986" spans="1:18" x14ac:dyDescent="0.2">
      <c r="A1986" s="83"/>
      <c r="B1986" s="502"/>
      <c r="C1986" s="503"/>
      <c r="D1986" s="503"/>
      <c r="E1986" s="503"/>
      <c r="F1986" s="503"/>
      <c r="G1986" s="503"/>
      <c r="H1986" s="503"/>
      <c r="I1986" s="504"/>
      <c r="J1986" s="508"/>
      <c r="K1986" s="509"/>
      <c r="L1986" s="509"/>
      <c r="M1986" s="509"/>
      <c r="N1986" s="509"/>
      <c r="O1986" s="509"/>
      <c r="P1986" s="510"/>
      <c r="Q1986" s="63"/>
      <c r="R1986" s="64"/>
    </row>
    <row r="1987" spans="1:18" x14ac:dyDescent="0.2">
      <c r="A1987" s="83"/>
      <c r="B1987" s="514" t="s">
        <v>127</v>
      </c>
      <c r="C1987" s="515"/>
      <c r="D1987" s="515"/>
      <c r="E1987" s="515"/>
      <c r="F1987" s="515"/>
      <c r="G1987" s="515"/>
      <c r="H1987" s="515"/>
      <c r="I1987" s="516"/>
      <c r="J1987" s="508"/>
      <c r="K1987" s="509"/>
      <c r="L1987" s="509"/>
      <c r="M1987" s="509"/>
      <c r="N1987" s="509"/>
      <c r="O1987" s="509"/>
      <c r="P1987" s="510"/>
      <c r="Q1987" s="63"/>
      <c r="R1987" s="64"/>
    </row>
    <row r="1988" spans="1:18" ht="13.5" thickBot="1" x14ac:dyDescent="0.25">
      <c r="A1988" s="83"/>
      <c r="B1988" s="517"/>
      <c r="C1988" s="518"/>
      <c r="D1988" s="518"/>
      <c r="E1988" s="518"/>
      <c r="F1988" s="518"/>
      <c r="G1988" s="518"/>
      <c r="H1988" s="518"/>
      <c r="I1988" s="519"/>
      <c r="J1988" s="511"/>
      <c r="K1988" s="512"/>
      <c r="L1988" s="512"/>
      <c r="M1988" s="512"/>
      <c r="N1988" s="512"/>
      <c r="O1988" s="512"/>
      <c r="P1988" s="513"/>
      <c r="Q1988" s="63"/>
      <c r="R1988" s="64"/>
    </row>
    <row r="1989" spans="1:18" x14ac:dyDescent="0.2">
      <c r="A1989" s="83"/>
      <c r="B1989" s="480" t="s">
        <v>10</v>
      </c>
      <c r="C1989" s="481"/>
      <c r="D1989" s="481"/>
      <c r="E1989" s="481"/>
      <c r="F1989" s="481"/>
      <c r="G1989" s="481"/>
      <c r="H1989" s="481"/>
      <c r="I1989" s="482"/>
      <c r="J1989" s="79">
        <v>1</v>
      </c>
      <c r="K1989" s="483"/>
      <c r="L1989" s="484"/>
      <c r="M1989" s="484"/>
      <c r="N1989" s="484"/>
      <c r="O1989" s="484"/>
      <c r="P1989" s="485"/>
      <c r="Q1989" s="63"/>
      <c r="R1989" s="64"/>
    </row>
    <row r="1990" spans="1:18" x14ac:dyDescent="0.2">
      <c r="A1990" s="83"/>
      <c r="B1990" s="486" t="s">
        <v>276</v>
      </c>
      <c r="C1990" s="487"/>
      <c r="D1990" s="487"/>
      <c r="E1990" s="487"/>
      <c r="F1990" s="487"/>
      <c r="G1990" s="487"/>
      <c r="H1990" s="487"/>
      <c r="I1990" s="488"/>
      <c r="J1990" s="80">
        <v>2</v>
      </c>
      <c r="K1990" s="454"/>
      <c r="L1990" s="455"/>
      <c r="M1990" s="455"/>
      <c r="N1990" s="455"/>
      <c r="O1990" s="455"/>
      <c r="P1990" s="456"/>
      <c r="Q1990" s="63"/>
      <c r="R1990" s="64"/>
    </row>
    <row r="1991" spans="1:18" x14ac:dyDescent="0.2">
      <c r="A1991" s="83"/>
      <c r="B1991" s="489" t="s">
        <v>234</v>
      </c>
      <c r="C1991" s="490"/>
      <c r="D1991" s="490"/>
      <c r="E1991" s="490"/>
      <c r="F1991" s="490"/>
      <c r="G1991" s="490"/>
      <c r="H1991" s="490"/>
      <c r="I1991" s="491"/>
      <c r="J1991" s="80">
        <v>3</v>
      </c>
      <c r="K1991" s="454"/>
      <c r="L1991" s="455"/>
      <c r="M1991" s="455"/>
      <c r="N1991" s="455"/>
      <c r="O1991" s="455"/>
      <c r="P1991" s="456"/>
      <c r="Q1991" s="63"/>
      <c r="R1991" s="64"/>
    </row>
    <row r="1992" spans="1:18" x14ac:dyDescent="0.2">
      <c r="A1992" s="83"/>
      <c r="B1992" s="468"/>
      <c r="C1992" s="468"/>
      <c r="D1992" s="468"/>
      <c r="E1992" s="468"/>
      <c r="F1992" s="468"/>
      <c r="G1992" s="468"/>
      <c r="H1992" s="468"/>
      <c r="I1992" s="468"/>
      <c r="J1992" s="468"/>
      <c r="K1992" s="468"/>
      <c r="L1992" s="468"/>
      <c r="M1992" s="468"/>
      <c r="N1992" s="468"/>
      <c r="O1992" s="468"/>
      <c r="P1992" s="468"/>
      <c r="Q1992" s="63"/>
      <c r="R1992" s="64"/>
    </row>
    <row r="1993" spans="1:18" ht="12" customHeight="1" x14ac:dyDescent="0.2">
      <c r="A1993" s="83"/>
      <c r="B1993" s="469" t="s">
        <v>84</v>
      </c>
      <c r="C1993" s="471" t="str">
        <f>IF(CODE(B1993)=89,"This candidate would like to receive Special","This candidate would not like to receive Special")</f>
        <v>This candidate would like to receive Special</v>
      </c>
      <c r="D1993" s="472"/>
      <c r="E1993" s="472"/>
      <c r="F1993" s="472"/>
      <c r="G1993" s="472"/>
      <c r="H1993" s="472"/>
      <c r="I1993" s="473"/>
      <c r="J1993" s="81"/>
      <c r="K1993" s="474" t="s">
        <v>205</v>
      </c>
      <c r="L1993" s="474"/>
      <c r="M1993" s="475"/>
      <c r="N1993" s="51" t="str">
        <f>IF($P$33&gt;=57,57,"")</f>
        <v/>
      </c>
      <c r="O1993" s="62" t="s">
        <v>52</v>
      </c>
      <c r="P1993" s="51" t="str">
        <f>IF($P$33&gt;=57,$P$33,"")</f>
        <v/>
      </c>
      <c r="Q1993" s="63"/>
      <c r="R1993" s="64"/>
    </row>
    <row r="1994" spans="1:18" ht="12" customHeight="1" x14ac:dyDescent="0.2">
      <c r="A1994" s="83"/>
      <c r="B1994" s="470"/>
      <c r="C1994" s="476" t="str">
        <f>IF(CODE(B1993)=89,"Announcements and Bulletins from RAD Canada","Announcements and Bulletins from RAD Canada")</f>
        <v>Announcements and Bulletins from RAD Canada</v>
      </c>
      <c r="D1994" s="477"/>
      <c r="E1994" s="477"/>
      <c r="F1994" s="477"/>
      <c r="G1994" s="477"/>
      <c r="H1994" s="477"/>
      <c r="I1994" s="478"/>
      <c r="J1994" s="479"/>
      <c r="K1994" s="400"/>
      <c r="L1994" s="400"/>
      <c r="M1994" s="400"/>
      <c r="N1994" s="400"/>
      <c r="O1994" s="400"/>
      <c r="P1994" s="400"/>
      <c r="Q1994" s="63"/>
      <c r="R1994" s="64"/>
    </row>
    <row r="1995" spans="1:18" x14ac:dyDescent="0.2">
      <c r="A1995" s="83"/>
      <c r="B1995" s="81"/>
      <c r="C1995" s="81"/>
      <c r="D1995" s="81"/>
      <c r="E1995" s="81"/>
      <c r="F1995" s="81"/>
      <c r="G1995" s="81"/>
      <c r="H1995" s="81"/>
      <c r="I1995" s="81"/>
      <c r="J1995" s="81"/>
      <c r="K1995" s="81"/>
      <c r="L1995" s="81"/>
      <c r="M1995" s="81"/>
      <c r="N1995" s="81"/>
      <c r="O1995" s="81"/>
      <c r="P1995" s="81"/>
      <c r="Q1995" s="63"/>
      <c r="R1995" s="64"/>
    </row>
    <row r="1996" spans="1:18" x14ac:dyDescent="0.2">
      <c r="A1996" s="83"/>
      <c r="B1996" s="62"/>
      <c r="C1996" s="62"/>
      <c r="D1996" s="62"/>
      <c r="E1996" s="62"/>
      <c r="F1996" s="62"/>
      <c r="G1996" s="62"/>
      <c r="H1996" s="62"/>
      <c r="I1996" s="62"/>
      <c r="J1996" s="62"/>
      <c r="K1996" s="62"/>
      <c r="L1996" s="62"/>
      <c r="M1996" s="62"/>
      <c r="N1996" s="62"/>
      <c r="O1996" s="62"/>
      <c r="P1996" s="62"/>
      <c r="Q1996" s="63"/>
      <c r="R1996" s="64"/>
    </row>
    <row r="1997" spans="1:18" x14ac:dyDescent="0.2">
      <c r="A1997" s="83"/>
      <c r="B1997" s="401" t="s">
        <v>233</v>
      </c>
      <c r="C1997" s="402"/>
      <c r="D1997" s="402"/>
      <c r="E1997" s="402"/>
      <c r="F1997" s="402"/>
      <c r="G1997" s="402"/>
      <c r="H1997" s="62"/>
      <c r="I1997" s="62"/>
      <c r="J1997" s="62"/>
      <c r="K1997" s="62"/>
      <c r="L1997" s="62"/>
      <c r="M1997" s="62"/>
      <c r="N1997" s="62"/>
      <c r="O1997" s="62"/>
      <c r="P1997" s="62"/>
      <c r="Q1997" s="63"/>
      <c r="R1997" s="64"/>
    </row>
    <row r="1998" spans="1:18" ht="15.75" x14ac:dyDescent="0.25">
      <c r="A1998" s="83"/>
      <c r="B1998" s="402"/>
      <c r="C1998" s="402"/>
      <c r="D1998" s="402"/>
      <c r="E1998" s="402"/>
      <c r="F1998" s="402"/>
      <c r="G1998" s="402"/>
      <c r="H1998" s="82"/>
      <c r="I1998" s="403"/>
      <c r="J1998" s="403"/>
      <c r="K1998" s="403"/>
      <c r="L1998" s="403"/>
      <c r="M1998" s="403"/>
      <c r="N1998" s="403"/>
      <c r="O1998" s="403"/>
      <c r="P1998" s="403"/>
      <c r="Q1998" s="63"/>
      <c r="R1998" s="64"/>
    </row>
    <row r="1999" spans="1:18" x14ac:dyDescent="0.2">
      <c r="A1999" s="83"/>
      <c r="B1999" s="400"/>
      <c r="C1999" s="400"/>
      <c r="D1999" s="400"/>
      <c r="E1999" s="400"/>
      <c r="F1999" s="400"/>
      <c r="G1999" s="400"/>
      <c r="H1999" s="400"/>
      <c r="I1999" s="400"/>
      <c r="J1999" s="400"/>
      <c r="K1999" s="400"/>
      <c r="L1999" s="400"/>
      <c r="M1999" s="403"/>
      <c r="N1999" s="403"/>
      <c r="O1999" s="403"/>
      <c r="P1999" s="403"/>
      <c r="Q1999" s="63"/>
      <c r="R1999" s="64"/>
    </row>
    <row r="2000" spans="1:18" x14ac:dyDescent="0.2">
      <c r="A2000" s="83"/>
      <c r="B2000" s="404" t="s">
        <v>260</v>
      </c>
      <c r="C2000" s="404"/>
      <c r="D2000" s="404"/>
      <c r="E2000" s="404"/>
      <c r="F2000" s="400"/>
      <c r="G2000" s="400"/>
      <c r="H2000" s="400"/>
      <c r="I2000" s="400"/>
      <c r="J2000" s="400"/>
      <c r="K2000" s="400"/>
      <c r="L2000" s="400"/>
      <c r="M2000" s="403"/>
      <c r="N2000" s="403"/>
      <c r="O2000" s="403"/>
      <c r="P2000" s="403"/>
      <c r="Q2000" s="63"/>
      <c r="R2000" s="64"/>
    </row>
    <row r="2001" spans="1:20" x14ac:dyDescent="0.2">
      <c r="A2001" s="83"/>
      <c r="B2001" s="69"/>
      <c r="C2001" s="324" t="s">
        <v>75</v>
      </c>
      <c r="D2001" s="408"/>
      <c r="E2001" s="409"/>
      <c r="F2001" s="400"/>
      <c r="G2001" s="400"/>
      <c r="H2001" s="400"/>
      <c r="I2001" s="400"/>
      <c r="J2001" s="400"/>
      <c r="K2001" s="400"/>
      <c r="L2001" s="400"/>
      <c r="M2001" s="70"/>
      <c r="N2001" s="70"/>
      <c r="O2001" s="70"/>
      <c r="P2001" s="70"/>
      <c r="Q2001" s="63"/>
      <c r="R2001" s="64"/>
    </row>
    <row r="2002" spans="1:20" x14ac:dyDescent="0.2">
      <c r="A2002" s="83"/>
      <c r="B2002" s="71"/>
      <c r="C2002" s="324" t="s">
        <v>128</v>
      </c>
      <c r="D2002" s="408"/>
      <c r="E2002" s="409"/>
      <c r="F2002" s="400"/>
      <c r="G2002" s="400"/>
      <c r="H2002" s="400"/>
      <c r="I2002" s="400"/>
      <c r="J2002" s="400"/>
      <c r="K2002" s="400"/>
      <c r="L2002" s="400"/>
      <c r="M2002" s="407" t="s">
        <v>256</v>
      </c>
      <c r="N2002" s="407"/>
      <c r="O2002" s="407"/>
      <c r="P2002" s="407"/>
      <c r="Q2002" s="63"/>
      <c r="R2002" s="64"/>
    </row>
    <row r="2003" spans="1:20" x14ac:dyDescent="0.2">
      <c r="A2003" s="83"/>
      <c r="B2003" s="56"/>
      <c r="C2003" s="324" t="s">
        <v>277</v>
      </c>
      <c r="D2003" s="408"/>
      <c r="E2003" s="409"/>
      <c r="F2003" s="400"/>
      <c r="G2003" s="400"/>
      <c r="H2003" s="400"/>
      <c r="I2003" s="400"/>
      <c r="J2003" s="400"/>
      <c r="K2003" s="400"/>
      <c r="L2003" s="400"/>
      <c r="M2003" s="407"/>
      <c r="N2003" s="407"/>
      <c r="O2003" s="407"/>
      <c r="P2003" s="407"/>
      <c r="Q2003" s="63"/>
      <c r="R2003" s="64"/>
    </row>
    <row r="2004" spans="1:20" x14ac:dyDescent="0.2">
      <c r="A2004" s="83"/>
      <c r="B2004" s="520"/>
      <c r="C2004" s="520"/>
      <c r="D2004" s="520"/>
      <c r="E2004" s="520"/>
      <c r="F2004" s="520"/>
      <c r="G2004" s="520"/>
      <c r="H2004" s="520"/>
      <c r="I2004" s="520"/>
      <c r="J2004" s="520"/>
      <c r="K2004" s="520"/>
      <c r="L2004" s="520"/>
      <c r="M2004" s="520"/>
      <c r="N2004" s="520"/>
      <c r="O2004" s="520"/>
      <c r="P2004" s="520"/>
      <c r="Q2004" s="63"/>
      <c r="R2004" s="64"/>
    </row>
    <row r="2005" spans="1:20" x14ac:dyDescent="0.2">
      <c r="A2005" s="83"/>
      <c r="B2005" s="432" t="s">
        <v>117</v>
      </c>
      <c r="C2005" s="433"/>
      <c r="D2005" s="434"/>
      <c r="E2005" s="442" t="str">
        <f>IF(AND($P$33&gt;=58,NOT(ISBLANK($E$10))),$E$10,"")</f>
        <v/>
      </c>
      <c r="F2005" s="443"/>
      <c r="G2005" s="444"/>
      <c r="H2005" s="414" t="s">
        <v>124</v>
      </c>
      <c r="I2005" s="415"/>
      <c r="J2005" s="442" t="str">
        <f>IF(AND($P$33&gt;=58,NOT(ISBLANK($J$10))),$J$10,"")</f>
        <v/>
      </c>
      <c r="K2005" s="443"/>
      <c r="L2005" s="444"/>
      <c r="M2005" s="414" t="s">
        <v>118</v>
      </c>
      <c r="N2005" s="415"/>
      <c r="O2005" s="430" t="str">
        <f>IF(AND($P$33&gt;=58,NOT(ISBLANK($O$10))),$O$10,"")</f>
        <v/>
      </c>
      <c r="P2005" s="521"/>
      <c r="Q2005" s="63"/>
      <c r="R2005" s="545" t="s">
        <v>307</v>
      </c>
      <c r="S2005" s="546"/>
      <c r="T2005" s="547"/>
    </row>
    <row r="2006" spans="1:20" x14ac:dyDescent="0.2">
      <c r="A2006" s="83"/>
      <c r="B2006" s="432" t="s">
        <v>240</v>
      </c>
      <c r="C2006" s="433"/>
      <c r="D2006" s="434"/>
      <c r="E2006" s="435" t="str">
        <f>IF(NOT($N2028=58),"",IF(ISERROR(LOOKUP(58,'Teacher Summary Sheet'!$M$19:$M$181)),"",IF(VLOOKUP(58,'Teacher Summary Sheet'!$M$19:$R$181,2)=0,"",VLOOKUP(58,'Teacher Summary Sheet'!$M$19:$R$181,2))))</f>
        <v/>
      </c>
      <c r="F2006" s="436"/>
      <c r="G2006" s="437"/>
      <c r="H2006" s="438" t="s">
        <v>119</v>
      </c>
      <c r="I2006" s="439"/>
      <c r="J2006" s="102" t="str">
        <f>IF(NOT($N2028=58),"",IF(ISERROR(LOOKUP(58,'Teacher Summary Sheet'!$M$19:$M$181)),"",IF(VLOOKUP(58,'Teacher Summary Sheet'!$M$19:$R$181,6)=0,"",VLOOKUP(58,'Teacher Summary Sheet'!$M$19:$R$181,6))))</f>
        <v/>
      </c>
      <c r="K2006" s="414" t="s">
        <v>179</v>
      </c>
      <c r="L2006" s="419"/>
      <c r="M2006" s="415"/>
      <c r="N2006" s="412" t="str">
        <f>IF(NOT($N2028=58),"",IF(ISERROR(LOOKUP(58,'Teacher Summary Sheet'!$M$19:$M$181)),"",IF('Teacher Summary Sheet'!$F$31=0,"",'Teacher Summary Sheet'!$F$31)))</f>
        <v/>
      </c>
      <c r="O2006" s="440"/>
      <c r="P2006" s="413"/>
      <c r="Q2006" s="63"/>
      <c r="R2006" s="548"/>
      <c r="S2006" s="549"/>
      <c r="T2006" s="550"/>
    </row>
    <row r="2007" spans="1:20" ht="14.25" x14ac:dyDescent="0.2">
      <c r="A2007" s="83"/>
      <c r="B2007" s="410" t="s">
        <v>241</v>
      </c>
      <c r="C2007" s="420"/>
      <c r="D2007" s="411"/>
      <c r="E2007" s="421" t="str">
        <f>IF(NOT($N2028=58),"",IF(ISERROR(LOOKUP(58,'Teacher Summary Sheet'!$M$19:$M$181)),"",IF(VLOOKUP(58,'Teacher Summary Sheet'!$M$19:$R$181,3)=0,"",VLOOKUP(58,'Teacher Summary Sheet'!$M$19:$R$181,3))))</f>
        <v/>
      </c>
      <c r="F2007" s="422"/>
      <c r="G2007" s="422"/>
      <c r="H2007" s="422"/>
      <c r="I2007" s="423"/>
      <c r="J2007" s="414" t="s">
        <v>124</v>
      </c>
      <c r="K2007" s="415"/>
      <c r="L2007" s="424" t="str">
        <f>IF(NOT($N2028=58),"",IF(ISERROR(LOOKUP(58,'Teacher Summary Sheet'!$M$19:$M$181)),"",IF(VLOOKUP(58,'Teacher Summary Sheet'!$M$19:$R$181,4)=0,"",VLOOKUP(58,'Teacher Summary Sheet'!$M$19:$R$181,4))))</f>
        <v/>
      </c>
      <c r="M2007" s="425"/>
      <c r="N2007" s="425"/>
      <c r="O2007" s="425"/>
      <c r="P2007" s="426"/>
      <c r="Q2007" s="63"/>
      <c r="R2007" s="125" t="str">
        <f>IF(NOT(N2028=58),"",IF(COUNTIF(R2009:R2015,"P")=7,"P","O"))</f>
        <v/>
      </c>
      <c r="S2007" s="110" t="str">
        <f>IF(NOT(N2028=58),"",IF(COUNTIF(R2009:R2015,"P")=7,"Complete","Incomplete"))</f>
        <v/>
      </c>
      <c r="T2007" s="111"/>
    </row>
    <row r="2008" spans="1:20" x14ac:dyDescent="0.2">
      <c r="A2008" s="83"/>
      <c r="B2008" s="410" t="s">
        <v>120</v>
      </c>
      <c r="C2008" s="420"/>
      <c r="D2008" s="411"/>
      <c r="E2008" s="427"/>
      <c r="F2008" s="428"/>
      <c r="G2008" s="428"/>
      <c r="H2008" s="428"/>
      <c r="I2008" s="428"/>
      <c r="J2008" s="429"/>
      <c r="K2008" s="62" t="s">
        <v>121</v>
      </c>
      <c r="L2008" s="427"/>
      <c r="M2008" s="428"/>
      <c r="N2008" s="428"/>
      <c r="O2008" s="428"/>
      <c r="P2008" s="429"/>
      <c r="Q2008" s="63"/>
    </row>
    <row r="2009" spans="1:20" ht="14.25" x14ac:dyDescent="0.2">
      <c r="A2009" s="83"/>
      <c r="B2009" s="410" t="s">
        <v>196</v>
      </c>
      <c r="C2009" s="420"/>
      <c r="D2009" s="411"/>
      <c r="E2009" s="427"/>
      <c r="F2009" s="428"/>
      <c r="G2009" s="428"/>
      <c r="H2009" s="428"/>
      <c r="I2009" s="429"/>
      <c r="J2009" s="73" t="s">
        <v>197</v>
      </c>
      <c r="K2009" s="405"/>
      <c r="L2009" s="406"/>
      <c r="M2009" s="414" t="s">
        <v>212</v>
      </c>
      <c r="N2009" s="415"/>
      <c r="O2009" s="405"/>
      <c r="P2009" s="406"/>
      <c r="Q2009" s="63"/>
      <c r="R2009" s="124" t="str">
        <f>IF(NOT(N2028=58),"",IF(OR(COUNTBLANK(E2007:E2007)=1,COUNTBLANK(L2007:L2007)=1),"O","P"))</f>
        <v/>
      </c>
      <c r="S2009" s="108" t="str">
        <f>IF(NOT(N2028=58),"","Candidate Name")</f>
        <v/>
      </c>
      <c r="T2009" s="64"/>
    </row>
    <row r="2010" spans="1:20" ht="14.25" x14ac:dyDescent="0.2">
      <c r="A2010" s="83"/>
      <c r="B2010" s="410" t="s">
        <v>198</v>
      </c>
      <c r="C2010" s="420"/>
      <c r="D2010" s="411"/>
      <c r="E2010" s="454"/>
      <c r="F2010" s="455"/>
      <c r="G2010" s="455"/>
      <c r="H2010" s="456"/>
      <c r="I2010" s="74" t="s">
        <v>199</v>
      </c>
      <c r="J2010" s="427"/>
      <c r="K2010" s="428"/>
      <c r="L2010" s="428"/>
      <c r="M2010" s="428"/>
      <c r="N2010" s="428"/>
      <c r="O2010" s="428"/>
      <c r="P2010" s="429"/>
      <c r="Q2010" s="63"/>
      <c r="R2010" s="124" t="str">
        <f>IF(NOT(N2028=58),"",IF(COUNTBLANK(E2006:E2006)=1,"O","P"))</f>
        <v/>
      </c>
      <c r="S2010" s="108" t="str">
        <f>IF(NOT(N2028=58),"","Candidate ID")</f>
        <v/>
      </c>
      <c r="T2010" s="64"/>
    </row>
    <row r="2011" spans="1:20" ht="14.25" x14ac:dyDescent="0.2">
      <c r="A2011" s="83"/>
      <c r="B2011" s="410" t="s">
        <v>227</v>
      </c>
      <c r="C2011" s="420"/>
      <c r="D2011" s="411"/>
      <c r="E2011" s="75" t="s">
        <v>218</v>
      </c>
      <c r="F2011" s="405"/>
      <c r="G2011" s="448"/>
      <c r="H2011" s="75" t="s">
        <v>138</v>
      </c>
      <c r="I2011" s="449"/>
      <c r="J2011" s="450"/>
      <c r="K2011" s="76" t="s">
        <v>139</v>
      </c>
      <c r="L2011" s="451"/>
      <c r="M2011" s="452"/>
      <c r="N2011" s="76" t="s">
        <v>228</v>
      </c>
      <c r="O2011" s="453" t="str">
        <f ca="1">IF(OR(ISBLANK(L2011),ISBLANK(I2011),ISBLANK(F2011),COUNTBLANK(J2006:J2006)=1),"",IF(DATEDIF(DATE(L2011,VLOOKUP(I2011,data!$T$2:$U$13,2,FALSE),F2011),IF(AND(TODAY()&lt;data!$AJ$12,TODAY()&gt;data!$AI$12),data!$AI$3,data!$AJ$3),"Y")&gt;=data!$AC$60,YEAR(TODAY())-L2011,data!$AD$3))</f>
        <v/>
      </c>
      <c r="P2011" s="413"/>
      <c r="Q2011" s="63"/>
      <c r="R2011" s="124" t="str">
        <f>IF(NOT(N2028=58),"",IF(OR(ISBLANK(E2008),ISBLANK(L2008),ISBLANK(K2009),ISBLANK(O2009)),"O","P"))</f>
        <v/>
      </c>
      <c r="S2011" s="108" t="str">
        <f>IF(NOT(N2028=58),"","Address")</f>
        <v/>
      </c>
      <c r="T2011" s="64"/>
    </row>
    <row r="2012" spans="1:20" ht="15" thickBot="1" x14ac:dyDescent="0.25">
      <c r="A2012" s="83"/>
      <c r="B2012" s="410" t="s">
        <v>214</v>
      </c>
      <c r="C2012" s="411"/>
      <c r="D2012" s="412" t="str">
        <f>IF(NOT($N2028=58),"",IF(ISERROR(LOOKUP(58,'Teacher Summary Sheet'!$M$19:$M$181)),"",IF(VLOOKUP(58,'Teacher Summary Sheet'!$M$19:$R$181,5)=0,"",VLOOKUP(58,'Teacher Summary Sheet'!$M$19:$R$181,5))))</f>
        <v/>
      </c>
      <c r="E2012" s="413"/>
      <c r="F2012" s="414" t="s">
        <v>319</v>
      </c>
      <c r="G2012" s="415"/>
      <c r="H2012" s="416"/>
      <c r="I2012" s="417"/>
      <c r="J2012" s="418"/>
      <c r="K2012" s="414" t="s">
        <v>320</v>
      </c>
      <c r="L2012" s="419"/>
      <c r="M2012" s="419"/>
      <c r="N2012" s="415"/>
      <c r="O2012" s="405" t="s">
        <v>268</v>
      </c>
      <c r="P2012" s="406"/>
      <c r="Q2012" s="63"/>
      <c r="R2012" s="124" t="str">
        <f>IF(NOT(N2028=58),"",IF(OR(ISBLANK(F2011),ISBLANK(I2011),ISBLANK(L2011)),"O","P"))</f>
        <v/>
      </c>
      <c r="S2012" s="108" t="str">
        <f>IF(NOT(N2028=58),"","Date of Birth")</f>
        <v/>
      </c>
      <c r="T2012" s="64"/>
    </row>
    <row r="2013" spans="1:20" ht="14.25" x14ac:dyDescent="0.2">
      <c r="A2013" s="83"/>
      <c r="B2013" s="522" t="s">
        <v>297</v>
      </c>
      <c r="C2013" s="463"/>
      <c r="D2013" s="463"/>
      <c r="E2013" s="463"/>
      <c r="F2013" s="463"/>
      <c r="G2013" s="463"/>
      <c r="H2013" s="463"/>
      <c r="I2013" s="463"/>
      <c r="J2013" s="463"/>
      <c r="K2013" s="463"/>
      <c r="L2013" s="463"/>
      <c r="M2013" s="463"/>
      <c r="N2013" s="463"/>
      <c r="O2013" s="463"/>
      <c r="P2013" s="464"/>
      <c r="Q2013" s="63"/>
      <c r="R2013" s="124" t="str">
        <f>IF(NOT(N2028=58),"",IF(COUNTBLANK(J2006:J2006)=1,"O","P"))</f>
        <v/>
      </c>
      <c r="S2013" s="112" t="str">
        <f>IF(NOT(N2028=58),"","Exam Level")</f>
        <v/>
      </c>
      <c r="T2013" s="64"/>
    </row>
    <row r="2014" spans="1:20" ht="14.25" x14ac:dyDescent="0.2">
      <c r="A2014" s="83"/>
      <c r="B2014" s="465"/>
      <c r="C2014" s="466"/>
      <c r="D2014" s="466"/>
      <c r="E2014" s="466"/>
      <c r="F2014" s="466"/>
      <c r="G2014" s="466"/>
      <c r="H2014" s="466"/>
      <c r="I2014" s="466"/>
      <c r="J2014" s="466"/>
      <c r="K2014" s="466"/>
      <c r="L2014" s="466"/>
      <c r="M2014" s="466"/>
      <c r="N2014" s="466"/>
      <c r="O2014" s="466"/>
      <c r="P2014" s="467"/>
      <c r="Q2014" s="63"/>
      <c r="R2014" s="124" t="str">
        <f>IF(NOT(N2028=58),"",IF(COUNTBLANK(D2012:D2012)=1,"O","P"))</f>
        <v/>
      </c>
      <c r="S2014" s="109" t="str">
        <f>IF(NOT(N2028=58),"","Gender")</f>
        <v/>
      </c>
      <c r="T2014" s="64"/>
    </row>
    <row r="2015" spans="1:20" ht="14.25" x14ac:dyDescent="0.2">
      <c r="A2015" s="83"/>
      <c r="B2015" s="432" t="s">
        <v>298</v>
      </c>
      <c r="C2015" s="433"/>
      <c r="D2015" s="434"/>
      <c r="E2015" s="405"/>
      <c r="F2015" s="406"/>
      <c r="G2015" s="432" t="s">
        <v>299</v>
      </c>
      <c r="H2015" s="433"/>
      <c r="I2015" s="434"/>
      <c r="J2015" s="405"/>
      <c r="K2015" s="448"/>
      <c r="L2015" s="406"/>
      <c r="M2015" s="414" t="s">
        <v>300</v>
      </c>
      <c r="N2015" s="415"/>
      <c r="O2015" s="457"/>
      <c r="P2015" s="458"/>
      <c r="Q2015" s="63"/>
      <c r="R2015" s="124" t="str">
        <f>IF(NOT(N2028=58),"",IF(ISBLANK(H2012),"O","P"))</f>
        <v/>
      </c>
      <c r="S2015" s="109" t="str">
        <f>IF(NOT(N2028=58),"","Height")</f>
        <v/>
      </c>
      <c r="T2015" s="64"/>
    </row>
    <row r="2016" spans="1:20" x14ac:dyDescent="0.2">
      <c r="A2016" s="83"/>
      <c r="B2016" s="77" t="s">
        <v>153</v>
      </c>
      <c r="C2016" s="405"/>
      <c r="D2016" s="406"/>
      <c r="E2016" s="414" t="s">
        <v>301</v>
      </c>
      <c r="F2016" s="415"/>
      <c r="G2016" s="459"/>
      <c r="H2016" s="460"/>
      <c r="I2016" s="461"/>
      <c r="J2016" s="414" t="s">
        <v>302</v>
      </c>
      <c r="K2016" s="415"/>
      <c r="L2016" s="454"/>
      <c r="M2016" s="455"/>
      <c r="N2016" s="455"/>
      <c r="O2016" s="455"/>
      <c r="P2016" s="456"/>
      <c r="Q2016" s="63"/>
      <c r="R2016" s="64"/>
      <c r="S2016" s="64"/>
      <c r="T2016" s="64"/>
    </row>
    <row r="2017" spans="1:20" x14ac:dyDescent="0.2">
      <c r="A2017" s="83"/>
      <c r="B2017" s="410" t="s">
        <v>116</v>
      </c>
      <c r="C2017" s="420"/>
      <c r="D2017" s="420"/>
      <c r="E2017" s="420"/>
      <c r="F2017" s="420"/>
      <c r="G2017" s="420"/>
      <c r="H2017" s="420"/>
      <c r="I2017" s="420"/>
      <c r="J2017" s="420"/>
      <c r="K2017" s="420"/>
      <c r="L2017" s="420"/>
      <c r="M2017" s="420"/>
      <c r="N2017" s="420"/>
      <c r="O2017" s="420"/>
      <c r="P2017" s="411"/>
      <c r="Q2017" s="63"/>
      <c r="R2017" s="64"/>
      <c r="S2017" s="64"/>
      <c r="T2017" s="64"/>
    </row>
    <row r="2018" spans="1:20" x14ac:dyDescent="0.2">
      <c r="A2018" s="83"/>
      <c r="B2018" s="410" t="s">
        <v>298</v>
      </c>
      <c r="C2018" s="420"/>
      <c r="D2018" s="411"/>
      <c r="E2018" s="405"/>
      <c r="F2018" s="406"/>
      <c r="G2018" s="410" t="s">
        <v>299</v>
      </c>
      <c r="H2018" s="420"/>
      <c r="I2018" s="411"/>
      <c r="J2018" s="454"/>
      <c r="K2018" s="455"/>
      <c r="L2018" s="456"/>
      <c r="M2018" s="414" t="s">
        <v>300</v>
      </c>
      <c r="N2018" s="415"/>
      <c r="O2018" s="457"/>
      <c r="P2018" s="458"/>
      <c r="Q2018" s="63"/>
      <c r="R2018" s="64"/>
    </row>
    <row r="2019" spans="1:20" ht="13.5" thickBot="1" x14ac:dyDescent="0.25">
      <c r="A2019" s="83"/>
      <c r="B2019" s="78" t="s">
        <v>153</v>
      </c>
      <c r="C2019" s="492"/>
      <c r="D2019" s="493"/>
      <c r="E2019" s="494" t="s">
        <v>301</v>
      </c>
      <c r="F2019" s="495"/>
      <c r="G2019" s="496"/>
      <c r="H2019" s="497"/>
      <c r="I2019" s="498"/>
      <c r="J2019" s="414" t="s">
        <v>302</v>
      </c>
      <c r="K2019" s="415"/>
      <c r="L2019" s="454"/>
      <c r="M2019" s="455"/>
      <c r="N2019" s="455"/>
      <c r="O2019" s="455"/>
      <c r="P2019" s="456"/>
      <c r="Q2019" s="63"/>
      <c r="R2019" s="64"/>
    </row>
    <row r="2020" spans="1:20" x14ac:dyDescent="0.2">
      <c r="A2020" s="83"/>
      <c r="B2020" s="499" t="s">
        <v>126</v>
      </c>
      <c r="C2020" s="500"/>
      <c r="D2020" s="500"/>
      <c r="E2020" s="500"/>
      <c r="F2020" s="500"/>
      <c r="G2020" s="500"/>
      <c r="H2020" s="500"/>
      <c r="I2020" s="501"/>
      <c r="J2020" s="505"/>
      <c r="K2020" s="506"/>
      <c r="L2020" s="506"/>
      <c r="M2020" s="506"/>
      <c r="N2020" s="506"/>
      <c r="O2020" s="506"/>
      <c r="P2020" s="507"/>
      <c r="Q2020" s="63"/>
      <c r="R2020" s="64"/>
    </row>
    <row r="2021" spans="1:20" x14ac:dyDescent="0.2">
      <c r="A2021" s="83"/>
      <c r="B2021" s="502"/>
      <c r="C2021" s="503"/>
      <c r="D2021" s="503"/>
      <c r="E2021" s="503"/>
      <c r="F2021" s="503"/>
      <c r="G2021" s="503"/>
      <c r="H2021" s="503"/>
      <c r="I2021" s="504"/>
      <c r="J2021" s="508"/>
      <c r="K2021" s="509"/>
      <c r="L2021" s="509"/>
      <c r="M2021" s="509"/>
      <c r="N2021" s="509"/>
      <c r="O2021" s="509"/>
      <c r="P2021" s="510"/>
      <c r="Q2021" s="63"/>
      <c r="R2021" s="64"/>
    </row>
    <row r="2022" spans="1:20" x14ac:dyDescent="0.2">
      <c r="A2022" s="83"/>
      <c r="B2022" s="514" t="s">
        <v>127</v>
      </c>
      <c r="C2022" s="515"/>
      <c r="D2022" s="515"/>
      <c r="E2022" s="515"/>
      <c r="F2022" s="515"/>
      <c r="G2022" s="515"/>
      <c r="H2022" s="515"/>
      <c r="I2022" s="516"/>
      <c r="J2022" s="508"/>
      <c r="K2022" s="509"/>
      <c r="L2022" s="509"/>
      <c r="M2022" s="509"/>
      <c r="N2022" s="509"/>
      <c r="O2022" s="509"/>
      <c r="P2022" s="510"/>
      <c r="Q2022" s="63"/>
      <c r="R2022" s="64"/>
    </row>
    <row r="2023" spans="1:20" ht="13.5" thickBot="1" x14ac:dyDescent="0.25">
      <c r="A2023" s="83"/>
      <c r="B2023" s="517"/>
      <c r="C2023" s="518"/>
      <c r="D2023" s="518"/>
      <c r="E2023" s="518"/>
      <c r="F2023" s="518"/>
      <c r="G2023" s="518"/>
      <c r="H2023" s="518"/>
      <c r="I2023" s="519"/>
      <c r="J2023" s="511"/>
      <c r="K2023" s="512"/>
      <c r="L2023" s="512"/>
      <c r="M2023" s="512"/>
      <c r="N2023" s="512"/>
      <c r="O2023" s="512"/>
      <c r="P2023" s="513"/>
      <c r="Q2023" s="63"/>
      <c r="R2023" s="64"/>
    </row>
    <row r="2024" spans="1:20" x14ac:dyDescent="0.2">
      <c r="A2024" s="83"/>
      <c r="B2024" s="480" t="s">
        <v>10</v>
      </c>
      <c r="C2024" s="481"/>
      <c r="D2024" s="481"/>
      <c r="E2024" s="481"/>
      <c r="F2024" s="481"/>
      <c r="G2024" s="481"/>
      <c r="H2024" s="481"/>
      <c r="I2024" s="482"/>
      <c r="J2024" s="79">
        <v>1</v>
      </c>
      <c r="K2024" s="483"/>
      <c r="L2024" s="484"/>
      <c r="M2024" s="484"/>
      <c r="N2024" s="484"/>
      <c r="O2024" s="484"/>
      <c r="P2024" s="485"/>
      <c r="Q2024" s="63"/>
      <c r="R2024" s="64"/>
    </row>
    <row r="2025" spans="1:20" x14ac:dyDescent="0.2">
      <c r="A2025" s="83"/>
      <c r="B2025" s="486" t="s">
        <v>276</v>
      </c>
      <c r="C2025" s="487"/>
      <c r="D2025" s="487"/>
      <c r="E2025" s="487"/>
      <c r="F2025" s="487"/>
      <c r="G2025" s="487"/>
      <c r="H2025" s="487"/>
      <c r="I2025" s="488"/>
      <c r="J2025" s="80">
        <v>2</v>
      </c>
      <c r="K2025" s="454"/>
      <c r="L2025" s="455"/>
      <c r="M2025" s="455"/>
      <c r="N2025" s="455"/>
      <c r="O2025" s="455"/>
      <c r="P2025" s="456"/>
      <c r="Q2025" s="63"/>
      <c r="R2025" s="64"/>
    </row>
    <row r="2026" spans="1:20" x14ac:dyDescent="0.2">
      <c r="A2026" s="83"/>
      <c r="B2026" s="489" t="s">
        <v>234</v>
      </c>
      <c r="C2026" s="490"/>
      <c r="D2026" s="490"/>
      <c r="E2026" s="490"/>
      <c r="F2026" s="490"/>
      <c r="G2026" s="490"/>
      <c r="H2026" s="490"/>
      <c r="I2026" s="491"/>
      <c r="J2026" s="80">
        <v>3</v>
      </c>
      <c r="K2026" s="454"/>
      <c r="L2026" s="455"/>
      <c r="M2026" s="455"/>
      <c r="N2026" s="455"/>
      <c r="O2026" s="455"/>
      <c r="P2026" s="456"/>
      <c r="Q2026" s="63"/>
      <c r="R2026" s="64"/>
    </row>
    <row r="2027" spans="1:20" x14ac:dyDescent="0.2">
      <c r="A2027" s="83"/>
      <c r="B2027" s="468"/>
      <c r="C2027" s="468"/>
      <c r="D2027" s="468"/>
      <c r="E2027" s="468"/>
      <c r="F2027" s="468"/>
      <c r="G2027" s="468"/>
      <c r="H2027" s="468"/>
      <c r="I2027" s="468"/>
      <c r="J2027" s="468"/>
      <c r="K2027" s="468"/>
      <c r="L2027" s="468"/>
      <c r="M2027" s="468"/>
      <c r="N2027" s="468"/>
      <c r="O2027" s="468"/>
      <c r="P2027" s="468"/>
      <c r="Q2027" s="63"/>
      <c r="R2027" s="64"/>
    </row>
    <row r="2028" spans="1:20" ht="12" customHeight="1" x14ac:dyDescent="0.2">
      <c r="A2028" s="83"/>
      <c r="B2028" s="469" t="s">
        <v>84</v>
      </c>
      <c r="C2028" s="471" t="str">
        <f>IF(CODE(B2028)=89,"This candidate would like to receive Special","This candidate would not like to receive Special")</f>
        <v>This candidate would like to receive Special</v>
      </c>
      <c r="D2028" s="472"/>
      <c r="E2028" s="472"/>
      <c r="F2028" s="472"/>
      <c r="G2028" s="472"/>
      <c r="H2028" s="472"/>
      <c r="I2028" s="473"/>
      <c r="J2028" s="81"/>
      <c r="K2028" s="474" t="s">
        <v>283</v>
      </c>
      <c r="L2028" s="474"/>
      <c r="M2028" s="475"/>
      <c r="N2028" s="51" t="str">
        <f>IF($P$33&gt;=58,58,"")</f>
        <v/>
      </c>
      <c r="O2028" s="62" t="s">
        <v>52</v>
      </c>
      <c r="P2028" s="51" t="str">
        <f>IF($P$33&gt;=58,$P$33,"")</f>
        <v/>
      </c>
      <c r="Q2028" s="63"/>
      <c r="R2028" s="64"/>
    </row>
    <row r="2029" spans="1:20" ht="12" customHeight="1" x14ac:dyDescent="0.2">
      <c r="A2029" s="83"/>
      <c r="B2029" s="470"/>
      <c r="C2029" s="476" t="str">
        <f>IF(CODE(B2028)=89,"Announcements and Bulletins from RAD Canada","Announcements and Bulletins from RAD Canada")</f>
        <v>Announcements and Bulletins from RAD Canada</v>
      </c>
      <c r="D2029" s="477"/>
      <c r="E2029" s="477"/>
      <c r="F2029" s="477"/>
      <c r="G2029" s="477"/>
      <c r="H2029" s="477"/>
      <c r="I2029" s="478"/>
      <c r="J2029" s="479"/>
      <c r="K2029" s="400"/>
      <c r="L2029" s="400"/>
      <c r="M2029" s="400"/>
      <c r="N2029" s="400"/>
      <c r="O2029" s="400"/>
      <c r="P2029" s="400"/>
      <c r="Q2029" s="63"/>
      <c r="R2029" s="64"/>
    </row>
    <row r="2030" spans="1:20" x14ac:dyDescent="0.2">
      <c r="A2030" s="83"/>
      <c r="B2030" s="81"/>
      <c r="C2030" s="81"/>
      <c r="D2030" s="81"/>
      <c r="E2030" s="81"/>
      <c r="F2030" s="81"/>
      <c r="G2030" s="81"/>
      <c r="H2030" s="81"/>
      <c r="I2030" s="81"/>
      <c r="J2030" s="81"/>
      <c r="K2030" s="81"/>
      <c r="L2030" s="81"/>
      <c r="M2030" s="81"/>
      <c r="N2030" s="81"/>
      <c r="O2030" s="81"/>
      <c r="P2030" s="81"/>
      <c r="Q2030" s="63"/>
      <c r="R2030" s="64"/>
    </row>
    <row r="2031" spans="1:20" x14ac:dyDescent="0.2">
      <c r="A2031" s="83"/>
      <c r="B2031" s="62"/>
      <c r="C2031" s="62"/>
      <c r="D2031" s="62"/>
      <c r="E2031" s="62"/>
      <c r="F2031" s="62"/>
      <c r="G2031" s="62"/>
      <c r="H2031" s="62"/>
      <c r="I2031" s="62"/>
      <c r="J2031" s="62"/>
      <c r="K2031" s="62"/>
      <c r="L2031" s="62"/>
      <c r="M2031" s="62"/>
      <c r="N2031" s="62"/>
      <c r="O2031" s="62"/>
      <c r="P2031" s="62"/>
      <c r="Q2031" s="63"/>
      <c r="R2031" s="64"/>
    </row>
    <row r="2032" spans="1:20" x14ac:dyDescent="0.2">
      <c r="A2032" s="83"/>
      <c r="B2032" s="401" t="s">
        <v>184</v>
      </c>
      <c r="C2032" s="402"/>
      <c r="D2032" s="402"/>
      <c r="E2032" s="402"/>
      <c r="F2032" s="402"/>
      <c r="G2032" s="402"/>
      <c r="H2032" s="62"/>
      <c r="I2032" s="62"/>
      <c r="J2032" s="62"/>
      <c r="K2032" s="62"/>
      <c r="L2032" s="62"/>
      <c r="M2032" s="62"/>
      <c r="N2032" s="62"/>
      <c r="O2032" s="62"/>
      <c r="P2032" s="62"/>
      <c r="Q2032" s="63"/>
      <c r="R2032" s="64"/>
    </row>
    <row r="2033" spans="1:20" ht="15.75" x14ac:dyDescent="0.25">
      <c r="A2033" s="83"/>
      <c r="B2033" s="402"/>
      <c r="C2033" s="402"/>
      <c r="D2033" s="402"/>
      <c r="E2033" s="402"/>
      <c r="F2033" s="402"/>
      <c r="G2033" s="402"/>
      <c r="H2033" s="82"/>
      <c r="I2033" s="403"/>
      <c r="J2033" s="403"/>
      <c r="K2033" s="403"/>
      <c r="L2033" s="403"/>
      <c r="M2033" s="403"/>
      <c r="N2033" s="403"/>
      <c r="O2033" s="403"/>
      <c r="P2033" s="403"/>
      <c r="Q2033" s="63"/>
      <c r="R2033" s="64"/>
    </row>
    <row r="2034" spans="1:20" x14ac:dyDescent="0.2">
      <c r="A2034" s="83"/>
      <c r="B2034" s="400"/>
      <c r="C2034" s="400"/>
      <c r="D2034" s="400"/>
      <c r="E2034" s="400"/>
      <c r="F2034" s="400"/>
      <c r="G2034" s="400"/>
      <c r="H2034" s="400"/>
      <c r="I2034" s="400"/>
      <c r="J2034" s="400"/>
      <c r="K2034" s="400"/>
      <c r="L2034" s="400"/>
      <c r="M2034" s="403"/>
      <c r="N2034" s="403"/>
      <c r="O2034" s="403"/>
      <c r="P2034" s="403"/>
      <c r="Q2034" s="63"/>
      <c r="R2034" s="64"/>
    </row>
    <row r="2035" spans="1:20" x14ac:dyDescent="0.2">
      <c r="A2035" s="83"/>
      <c r="B2035" s="404" t="s">
        <v>260</v>
      </c>
      <c r="C2035" s="404"/>
      <c r="D2035" s="404"/>
      <c r="E2035" s="404"/>
      <c r="F2035" s="400"/>
      <c r="G2035" s="400"/>
      <c r="H2035" s="400"/>
      <c r="I2035" s="400"/>
      <c r="J2035" s="400"/>
      <c r="K2035" s="400"/>
      <c r="L2035" s="400"/>
      <c r="M2035" s="403"/>
      <c r="N2035" s="403"/>
      <c r="O2035" s="403"/>
      <c r="P2035" s="403"/>
      <c r="Q2035" s="63"/>
      <c r="R2035" s="64"/>
    </row>
    <row r="2036" spans="1:20" x14ac:dyDescent="0.2">
      <c r="A2036" s="83"/>
      <c r="B2036" s="69"/>
      <c r="C2036" s="324" t="s">
        <v>75</v>
      </c>
      <c r="D2036" s="408"/>
      <c r="E2036" s="409"/>
      <c r="F2036" s="400"/>
      <c r="G2036" s="400"/>
      <c r="H2036" s="400"/>
      <c r="I2036" s="400"/>
      <c r="J2036" s="400"/>
      <c r="K2036" s="400"/>
      <c r="L2036" s="400"/>
      <c r="M2036" s="70"/>
      <c r="N2036" s="70"/>
      <c r="O2036" s="70"/>
      <c r="P2036" s="70"/>
      <c r="Q2036" s="63"/>
      <c r="R2036" s="64"/>
    </row>
    <row r="2037" spans="1:20" x14ac:dyDescent="0.2">
      <c r="A2037" s="83"/>
      <c r="B2037" s="71"/>
      <c r="C2037" s="324" t="s">
        <v>128</v>
      </c>
      <c r="D2037" s="408"/>
      <c r="E2037" s="409"/>
      <c r="F2037" s="400"/>
      <c r="G2037" s="400"/>
      <c r="H2037" s="400"/>
      <c r="I2037" s="400"/>
      <c r="J2037" s="400"/>
      <c r="K2037" s="400"/>
      <c r="L2037" s="400"/>
      <c r="M2037" s="407" t="s">
        <v>256</v>
      </c>
      <c r="N2037" s="407"/>
      <c r="O2037" s="407"/>
      <c r="P2037" s="407"/>
      <c r="Q2037" s="63"/>
      <c r="R2037" s="64"/>
    </row>
    <row r="2038" spans="1:20" x14ac:dyDescent="0.2">
      <c r="A2038" s="83"/>
      <c r="B2038" s="56"/>
      <c r="C2038" s="324" t="s">
        <v>33</v>
      </c>
      <c r="D2038" s="408"/>
      <c r="E2038" s="409"/>
      <c r="F2038" s="400"/>
      <c r="G2038" s="400"/>
      <c r="H2038" s="400"/>
      <c r="I2038" s="400"/>
      <c r="J2038" s="400"/>
      <c r="K2038" s="400"/>
      <c r="L2038" s="400"/>
      <c r="M2038" s="407"/>
      <c r="N2038" s="407"/>
      <c r="O2038" s="407"/>
      <c r="P2038" s="407"/>
      <c r="Q2038" s="63"/>
      <c r="R2038" s="64"/>
    </row>
    <row r="2039" spans="1:20" x14ac:dyDescent="0.2">
      <c r="A2039" s="83"/>
      <c r="B2039" s="520"/>
      <c r="C2039" s="520"/>
      <c r="D2039" s="520"/>
      <c r="E2039" s="520"/>
      <c r="F2039" s="520"/>
      <c r="G2039" s="520"/>
      <c r="H2039" s="520"/>
      <c r="I2039" s="520"/>
      <c r="J2039" s="520"/>
      <c r="K2039" s="520"/>
      <c r="L2039" s="520"/>
      <c r="M2039" s="520"/>
      <c r="N2039" s="520"/>
      <c r="O2039" s="520"/>
      <c r="P2039" s="520"/>
      <c r="Q2039" s="63"/>
      <c r="R2039" s="64"/>
    </row>
    <row r="2040" spans="1:20" x14ac:dyDescent="0.2">
      <c r="A2040" s="83"/>
      <c r="B2040" s="432" t="s">
        <v>117</v>
      </c>
      <c r="C2040" s="433"/>
      <c r="D2040" s="434"/>
      <c r="E2040" s="442" t="str">
        <f>IF(AND($P$33&gt;=59,NOT(ISBLANK($E$10))),$E$10,"")</f>
        <v/>
      </c>
      <c r="F2040" s="443"/>
      <c r="G2040" s="444"/>
      <c r="H2040" s="414" t="s">
        <v>124</v>
      </c>
      <c r="I2040" s="415"/>
      <c r="J2040" s="442" t="str">
        <f>IF(AND($P$33&gt;=59,NOT(ISBLANK($J$10))),$J$10,"")</f>
        <v/>
      </c>
      <c r="K2040" s="443"/>
      <c r="L2040" s="444"/>
      <c r="M2040" s="414" t="s">
        <v>118</v>
      </c>
      <c r="N2040" s="415"/>
      <c r="O2040" s="430" t="str">
        <f>IF(AND($P$33&gt;=59,NOT(ISBLANK($O$10))),$O$10,"")</f>
        <v/>
      </c>
      <c r="P2040" s="521"/>
      <c r="Q2040" s="63"/>
      <c r="R2040" s="545" t="s">
        <v>307</v>
      </c>
      <c r="S2040" s="546"/>
      <c r="T2040" s="547"/>
    </row>
    <row r="2041" spans="1:20" x14ac:dyDescent="0.2">
      <c r="A2041" s="83"/>
      <c r="B2041" s="432" t="s">
        <v>240</v>
      </c>
      <c r="C2041" s="433"/>
      <c r="D2041" s="434"/>
      <c r="E2041" s="435" t="str">
        <f>IF(NOT($N2063=59),"",IF(ISERROR(LOOKUP(59,'Teacher Summary Sheet'!$M$19:$M$181)),"",IF(VLOOKUP(59,'Teacher Summary Sheet'!$M$19:$R$181,2)=0,"",VLOOKUP(59,'Teacher Summary Sheet'!$M$19:$R$181,2))))</f>
        <v/>
      </c>
      <c r="F2041" s="436"/>
      <c r="G2041" s="437"/>
      <c r="H2041" s="438" t="s">
        <v>119</v>
      </c>
      <c r="I2041" s="439"/>
      <c r="J2041" s="102" t="str">
        <f>IF(NOT($N2063=59),"",IF(ISERROR(LOOKUP(59,'Teacher Summary Sheet'!$M$19:$M$181)),"",IF(VLOOKUP(59,'Teacher Summary Sheet'!$M$19:$R$181,6)=0,"",VLOOKUP(59,'Teacher Summary Sheet'!$M$19:$R$181,6))))</f>
        <v/>
      </c>
      <c r="K2041" s="414" t="s">
        <v>179</v>
      </c>
      <c r="L2041" s="419"/>
      <c r="M2041" s="415"/>
      <c r="N2041" s="412" t="str">
        <f>IF(NOT($N2063=59),"",IF(ISERROR(LOOKUP(59,'Teacher Summary Sheet'!$M$19:$M$181)),"",IF('Teacher Summary Sheet'!$F$31=0,"",'Teacher Summary Sheet'!$F$31)))</f>
        <v/>
      </c>
      <c r="O2041" s="440"/>
      <c r="P2041" s="413"/>
      <c r="Q2041" s="63"/>
      <c r="R2041" s="548"/>
      <c r="S2041" s="549"/>
      <c r="T2041" s="550"/>
    </row>
    <row r="2042" spans="1:20" ht="14.25" x14ac:dyDescent="0.2">
      <c r="A2042" s="83"/>
      <c r="B2042" s="410" t="s">
        <v>241</v>
      </c>
      <c r="C2042" s="420"/>
      <c r="D2042" s="411"/>
      <c r="E2042" s="421" t="str">
        <f>IF(NOT($N2063=59),"",IF(ISERROR(LOOKUP(59,'Teacher Summary Sheet'!$M$19:$M$181)),"",IF(VLOOKUP(59,'Teacher Summary Sheet'!$M$19:$R$181,3)=0,"",VLOOKUP(59,'Teacher Summary Sheet'!$M$19:$R$181,3))))</f>
        <v/>
      </c>
      <c r="F2042" s="422"/>
      <c r="G2042" s="422"/>
      <c r="H2042" s="422"/>
      <c r="I2042" s="423"/>
      <c r="J2042" s="414" t="s">
        <v>124</v>
      </c>
      <c r="K2042" s="415"/>
      <c r="L2042" s="424" t="str">
        <f>IF(NOT($N2063=59),"",IF(ISERROR(LOOKUP(59,'Teacher Summary Sheet'!$M$19:$M$181)),"",IF(VLOOKUP(59,'Teacher Summary Sheet'!$M$19:$R$181,4)=0,"",VLOOKUP(59,'Teacher Summary Sheet'!$M$19:$R$181,4))))</f>
        <v/>
      </c>
      <c r="M2042" s="425"/>
      <c r="N2042" s="425"/>
      <c r="O2042" s="425"/>
      <c r="P2042" s="426"/>
      <c r="Q2042" s="63"/>
      <c r="R2042" s="125" t="str">
        <f>IF(NOT(N2063=59),"",IF(COUNTIF(R2044:R2050,"P")=7,"P","O"))</f>
        <v/>
      </c>
      <c r="S2042" s="110" t="str">
        <f>IF(NOT(N2063=59),"",IF(COUNTIF(R2044:R2050,"P")=7,"Complete","Incomplete"))</f>
        <v/>
      </c>
      <c r="T2042" s="111"/>
    </row>
    <row r="2043" spans="1:20" x14ac:dyDescent="0.2">
      <c r="A2043" s="83"/>
      <c r="B2043" s="410" t="s">
        <v>120</v>
      </c>
      <c r="C2043" s="420"/>
      <c r="D2043" s="411"/>
      <c r="E2043" s="427"/>
      <c r="F2043" s="428"/>
      <c r="G2043" s="428"/>
      <c r="H2043" s="428"/>
      <c r="I2043" s="428"/>
      <c r="J2043" s="429"/>
      <c r="K2043" s="62" t="s">
        <v>121</v>
      </c>
      <c r="L2043" s="427"/>
      <c r="M2043" s="428"/>
      <c r="N2043" s="428"/>
      <c r="O2043" s="428"/>
      <c r="P2043" s="429"/>
      <c r="Q2043" s="63"/>
    </row>
    <row r="2044" spans="1:20" ht="14.25" x14ac:dyDescent="0.2">
      <c r="A2044" s="83"/>
      <c r="B2044" s="410" t="s">
        <v>196</v>
      </c>
      <c r="C2044" s="420"/>
      <c r="D2044" s="411"/>
      <c r="E2044" s="427"/>
      <c r="F2044" s="428"/>
      <c r="G2044" s="428"/>
      <c r="H2044" s="428"/>
      <c r="I2044" s="429"/>
      <c r="J2044" s="73" t="s">
        <v>197</v>
      </c>
      <c r="K2044" s="405"/>
      <c r="L2044" s="406"/>
      <c r="M2044" s="414" t="s">
        <v>212</v>
      </c>
      <c r="N2044" s="415"/>
      <c r="O2044" s="405"/>
      <c r="P2044" s="406"/>
      <c r="Q2044" s="63"/>
      <c r="R2044" s="124" t="str">
        <f>IF(NOT(N2063=59),"",IF(OR(COUNTBLANK(E2042:E2042)=1,COUNTBLANK(L2042:L2042)=1),"O","P"))</f>
        <v/>
      </c>
      <c r="S2044" s="108" t="str">
        <f>IF(NOT(N2063=59),"","Candidate Name")</f>
        <v/>
      </c>
      <c r="T2044" s="64"/>
    </row>
    <row r="2045" spans="1:20" ht="14.25" x14ac:dyDescent="0.2">
      <c r="A2045" s="83"/>
      <c r="B2045" s="410" t="s">
        <v>198</v>
      </c>
      <c r="C2045" s="420"/>
      <c r="D2045" s="411"/>
      <c r="E2045" s="454"/>
      <c r="F2045" s="455"/>
      <c r="G2045" s="455"/>
      <c r="H2045" s="456"/>
      <c r="I2045" s="74" t="s">
        <v>199</v>
      </c>
      <c r="J2045" s="427"/>
      <c r="K2045" s="428"/>
      <c r="L2045" s="428"/>
      <c r="M2045" s="428"/>
      <c r="N2045" s="428"/>
      <c r="O2045" s="428"/>
      <c r="P2045" s="429"/>
      <c r="Q2045" s="63"/>
      <c r="R2045" s="124" t="str">
        <f>IF(NOT(N2063=59),"",IF(COUNTBLANK(E2041:E2041)=1,"O","P"))</f>
        <v/>
      </c>
      <c r="S2045" s="108" t="str">
        <f>IF(NOT(N2063=59),"","Candidate ID")</f>
        <v/>
      </c>
      <c r="T2045" s="64"/>
    </row>
    <row r="2046" spans="1:20" ht="14.25" x14ac:dyDescent="0.2">
      <c r="A2046" s="83"/>
      <c r="B2046" s="410" t="s">
        <v>227</v>
      </c>
      <c r="C2046" s="420"/>
      <c r="D2046" s="411"/>
      <c r="E2046" s="75" t="s">
        <v>218</v>
      </c>
      <c r="F2046" s="405"/>
      <c r="G2046" s="448"/>
      <c r="H2046" s="75" t="s">
        <v>138</v>
      </c>
      <c r="I2046" s="449"/>
      <c r="J2046" s="450"/>
      <c r="K2046" s="76" t="s">
        <v>139</v>
      </c>
      <c r="L2046" s="451"/>
      <c r="M2046" s="452"/>
      <c r="N2046" s="76" t="s">
        <v>228</v>
      </c>
      <c r="O2046" s="453" t="str">
        <f ca="1">IF(OR(ISBLANK(L2046),ISBLANK(I2046),ISBLANK(F2046),COUNTBLANK(J2041:J2041)=1),"",IF(DATEDIF(DATE(L2046,VLOOKUP(I2046,data!$T$2:$U$13,2,FALSE),F2046),IF(AND(TODAY()&lt;data!$AJ$12,TODAY()&gt;data!$AI$12),data!$AI$3,data!$AJ$3),"Y")&gt;=data!$AC$61,YEAR(TODAY())-L2046,data!$AD$3))</f>
        <v/>
      </c>
      <c r="P2046" s="413"/>
      <c r="Q2046" s="63"/>
      <c r="R2046" s="124" t="str">
        <f>IF(NOT(N2063=59),"",IF(OR(ISBLANK(E2043),ISBLANK(L2043),ISBLANK(K2044),ISBLANK(O2044)),"O","P"))</f>
        <v/>
      </c>
      <c r="S2046" s="108" t="str">
        <f>IF(NOT(N2063=59),"","Address")</f>
        <v/>
      </c>
      <c r="T2046" s="64"/>
    </row>
    <row r="2047" spans="1:20" ht="15" thickBot="1" x14ac:dyDescent="0.25">
      <c r="A2047" s="83"/>
      <c r="B2047" s="410" t="s">
        <v>214</v>
      </c>
      <c r="C2047" s="411"/>
      <c r="D2047" s="412" t="str">
        <f>IF(NOT($N2063=59),"",IF(ISERROR(LOOKUP(59,'Teacher Summary Sheet'!$M$19:$M$181)),"",IF(VLOOKUP(59,'Teacher Summary Sheet'!$M$19:$R$181,5)=0,"",VLOOKUP(59,'Teacher Summary Sheet'!$M$19:$R$181,5))))</f>
        <v/>
      </c>
      <c r="E2047" s="413"/>
      <c r="F2047" s="414" t="s">
        <v>319</v>
      </c>
      <c r="G2047" s="415"/>
      <c r="H2047" s="416"/>
      <c r="I2047" s="417"/>
      <c r="J2047" s="418"/>
      <c r="K2047" s="414" t="s">
        <v>320</v>
      </c>
      <c r="L2047" s="419"/>
      <c r="M2047" s="419"/>
      <c r="N2047" s="415"/>
      <c r="O2047" s="405" t="s">
        <v>268</v>
      </c>
      <c r="P2047" s="406"/>
      <c r="Q2047" s="63"/>
      <c r="R2047" s="124" t="str">
        <f>IF(NOT(N2063=59),"",IF(OR(ISBLANK(F2046),ISBLANK(I2046),ISBLANK(L2046)),"O","P"))</f>
        <v/>
      </c>
      <c r="S2047" s="108" t="str">
        <f>IF(NOT(N2063=59),"","Date of Birth")</f>
        <v/>
      </c>
      <c r="T2047" s="64"/>
    </row>
    <row r="2048" spans="1:20" ht="14.25" x14ac:dyDescent="0.2">
      <c r="A2048" s="83"/>
      <c r="B2048" s="522" t="s">
        <v>297</v>
      </c>
      <c r="C2048" s="463"/>
      <c r="D2048" s="463"/>
      <c r="E2048" s="463"/>
      <c r="F2048" s="463"/>
      <c r="G2048" s="463"/>
      <c r="H2048" s="463"/>
      <c r="I2048" s="463"/>
      <c r="J2048" s="463"/>
      <c r="K2048" s="463"/>
      <c r="L2048" s="463"/>
      <c r="M2048" s="463"/>
      <c r="N2048" s="463"/>
      <c r="O2048" s="463"/>
      <c r="P2048" s="464"/>
      <c r="Q2048" s="63"/>
      <c r="R2048" s="124" t="str">
        <f>IF(NOT(N2063=59),"",IF(COUNTBLANK(J2041:J2041)=1,"O","P"))</f>
        <v/>
      </c>
      <c r="S2048" s="112" t="str">
        <f>IF(NOT(N2063=59),"","Exam Level")</f>
        <v/>
      </c>
      <c r="T2048" s="64"/>
    </row>
    <row r="2049" spans="1:20" ht="14.25" x14ac:dyDescent="0.2">
      <c r="A2049" s="83"/>
      <c r="B2049" s="465"/>
      <c r="C2049" s="466"/>
      <c r="D2049" s="466"/>
      <c r="E2049" s="466"/>
      <c r="F2049" s="466"/>
      <c r="G2049" s="466"/>
      <c r="H2049" s="466"/>
      <c r="I2049" s="466"/>
      <c r="J2049" s="466"/>
      <c r="K2049" s="466"/>
      <c r="L2049" s="466"/>
      <c r="M2049" s="466"/>
      <c r="N2049" s="466"/>
      <c r="O2049" s="466"/>
      <c r="P2049" s="467"/>
      <c r="Q2049" s="63"/>
      <c r="R2049" s="124" t="str">
        <f>IF(NOT(N2063=59),"",IF(COUNTBLANK(D2047:D2047)=1,"O","P"))</f>
        <v/>
      </c>
      <c r="S2049" s="109" t="str">
        <f>IF(NOT(N2063=59),"","Gender")</f>
        <v/>
      </c>
      <c r="T2049" s="64"/>
    </row>
    <row r="2050" spans="1:20" ht="14.25" x14ac:dyDescent="0.2">
      <c r="A2050" s="83"/>
      <c r="B2050" s="432" t="s">
        <v>298</v>
      </c>
      <c r="C2050" s="433"/>
      <c r="D2050" s="434"/>
      <c r="E2050" s="405"/>
      <c r="F2050" s="406"/>
      <c r="G2050" s="432" t="s">
        <v>299</v>
      </c>
      <c r="H2050" s="433"/>
      <c r="I2050" s="434"/>
      <c r="J2050" s="405"/>
      <c r="K2050" s="448"/>
      <c r="L2050" s="406"/>
      <c r="M2050" s="414" t="s">
        <v>300</v>
      </c>
      <c r="N2050" s="415"/>
      <c r="O2050" s="457"/>
      <c r="P2050" s="458"/>
      <c r="Q2050" s="63"/>
      <c r="R2050" s="124" t="str">
        <f>IF(NOT(N2063=59),"",IF(ISBLANK(H2047),"O","P"))</f>
        <v/>
      </c>
      <c r="S2050" s="109" t="str">
        <f>IF(NOT(N2063=59),"","Height")</f>
        <v/>
      </c>
      <c r="T2050" s="64"/>
    </row>
    <row r="2051" spans="1:20" x14ac:dyDescent="0.2">
      <c r="A2051" s="83"/>
      <c r="B2051" s="77" t="s">
        <v>153</v>
      </c>
      <c r="C2051" s="405"/>
      <c r="D2051" s="406"/>
      <c r="E2051" s="414" t="s">
        <v>301</v>
      </c>
      <c r="F2051" s="415"/>
      <c r="G2051" s="459"/>
      <c r="H2051" s="460"/>
      <c r="I2051" s="461"/>
      <c r="J2051" s="414" t="s">
        <v>302</v>
      </c>
      <c r="K2051" s="415"/>
      <c r="L2051" s="454"/>
      <c r="M2051" s="455"/>
      <c r="N2051" s="455"/>
      <c r="O2051" s="455"/>
      <c r="P2051" s="456"/>
      <c r="Q2051" s="63"/>
      <c r="R2051" s="64"/>
      <c r="S2051" s="64"/>
      <c r="T2051" s="64"/>
    </row>
    <row r="2052" spans="1:20" x14ac:dyDescent="0.2">
      <c r="A2052" s="83"/>
      <c r="B2052" s="410" t="s">
        <v>116</v>
      </c>
      <c r="C2052" s="420"/>
      <c r="D2052" s="420"/>
      <c r="E2052" s="420"/>
      <c r="F2052" s="420"/>
      <c r="G2052" s="420"/>
      <c r="H2052" s="420"/>
      <c r="I2052" s="420"/>
      <c r="J2052" s="420"/>
      <c r="K2052" s="420"/>
      <c r="L2052" s="420"/>
      <c r="M2052" s="420"/>
      <c r="N2052" s="420"/>
      <c r="O2052" s="420"/>
      <c r="P2052" s="411"/>
      <c r="Q2052" s="63"/>
      <c r="R2052" s="64"/>
      <c r="S2052" s="64"/>
      <c r="T2052" s="64"/>
    </row>
    <row r="2053" spans="1:20" x14ac:dyDescent="0.2">
      <c r="A2053" s="83"/>
      <c r="B2053" s="410" t="s">
        <v>298</v>
      </c>
      <c r="C2053" s="420"/>
      <c r="D2053" s="411"/>
      <c r="E2053" s="405"/>
      <c r="F2053" s="406"/>
      <c r="G2053" s="410" t="s">
        <v>299</v>
      </c>
      <c r="H2053" s="420"/>
      <c r="I2053" s="411"/>
      <c r="J2053" s="454"/>
      <c r="K2053" s="455"/>
      <c r="L2053" s="456"/>
      <c r="M2053" s="414" t="s">
        <v>300</v>
      </c>
      <c r="N2053" s="415"/>
      <c r="O2053" s="457"/>
      <c r="P2053" s="458"/>
      <c r="Q2053" s="63"/>
      <c r="R2053" s="64"/>
    </row>
    <row r="2054" spans="1:20" ht="13.5" thickBot="1" x14ac:dyDescent="0.25">
      <c r="A2054" s="83"/>
      <c r="B2054" s="78" t="s">
        <v>153</v>
      </c>
      <c r="C2054" s="492"/>
      <c r="D2054" s="493"/>
      <c r="E2054" s="494" t="s">
        <v>301</v>
      </c>
      <c r="F2054" s="495"/>
      <c r="G2054" s="496"/>
      <c r="H2054" s="497"/>
      <c r="I2054" s="498"/>
      <c r="J2054" s="414" t="s">
        <v>302</v>
      </c>
      <c r="K2054" s="415"/>
      <c r="L2054" s="454"/>
      <c r="M2054" s="455"/>
      <c r="N2054" s="455"/>
      <c r="O2054" s="455"/>
      <c r="P2054" s="456"/>
      <c r="Q2054" s="63"/>
      <c r="R2054" s="64"/>
    </row>
    <row r="2055" spans="1:20" x14ac:dyDescent="0.2">
      <c r="A2055" s="83"/>
      <c r="B2055" s="499" t="s">
        <v>126</v>
      </c>
      <c r="C2055" s="500"/>
      <c r="D2055" s="500"/>
      <c r="E2055" s="500"/>
      <c r="F2055" s="500"/>
      <c r="G2055" s="500"/>
      <c r="H2055" s="500"/>
      <c r="I2055" s="501"/>
      <c r="J2055" s="505"/>
      <c r="K2055" s="506"/>
      <c r="L2055" s="506"/>
      <c r="M2055" s="506"/>
      <c r="N2055" s="506"/>
      <c r="O2055" s="506"/>
      <c r="P2055" s="507"/>
      <c r="Q2055" s="63"/>
      <c r="R2055" s="64"/>
    </row>
    <row r="2056" spans="1:20" x14ac:dyDescent="0.2">
      <c r="A2056" s="83"/>
      <c r="B2056" s="502"/>
      <c r="C2056" s="503"/>
      <c r="D2056" s="503"/>
      <c r="E2056" s="503"/>
      <c r="F2056" s="503"/>
      <c r="G2056" s="503"/>
      <c r="H2056" s="503"/>
      <c r="I2056" s="504"/>
      <c r="J2056" s="508"/>
      <c r="K2056" s="509"/>
      <c r="L2056" s="509"/>
      <c r="M2056" s="509"/>
      <c r="N2056" s="509"/>
      <c r="O2056" s="509"/>
      <c r="P2056" s="510"/>
      <c r="Q2056" s="63"/>
      <c r="R2056" s="64"/>
    </row>
    <row r="2057" spans="1:20" x14ac:dyDescent="0.2">
      <c r="A2057" s="83"/>
      <c r="B2057" s="514" t="s">
        <v>127</v>
      </c>
      <c r="C2057" s="515"/>
      <c r="D2057" s="515"/>
      <c r="E2057" s="515"/>
      <c r="F2057" s="515"/>
      <c r="G2057" s="515"/>
      <c r="H2057" s="515"/>
      <c r="I2057" s="516"/>
      <c r="J2057" s="508"/>
      <c r="K2057" s="509"/>
      <c r="L2057" s="509"/>
      <c r="M2057" s="509"/>
      <c r="N2057" s="509"/>
      <c r="O2057" s="509"/>
      <c r="P2057" s="510"/>
      <c r="Q2057" s="63"/>
      <c r="R2057" s="64"/>
    </row>
    <row r="2058" spans="1:20" ht="13.5" thickBot="1" x14ac:dyDescent="0.25">
      <c r="A2058" s="83"/>
      <c r="B2058" s="517"/>
      <c r="C2058" s="518"/>
      <c r="D2058" s="518"/>
      <c r="E2058" s="518"/>
      <c r="F2058" s="518"/>
      <c r="G2058" s="518"/>
      <c r="H2058" s="518"/>
      <c r="I2058" s="519"/>
      <c r="J2058" s="511"/>
      <c r="K2058" s="512"/>
      <c r="L2058" s="512"/>
      <c r="M2058" s="512"/>
      <c r="N2058" s="512"/>
      <c r="O2058" s="512"/>
      <c r="P2058" s="513"/>
      <c r="Q2058" s="63"/>
      <c r="R2058" s="64"/>
    </row>
    <row r="2059" spans="1:20" x14ac:dyDescent="0.2">
      <c r="A2059" s="83"/>
      <c r="B2059" s="480" t="s">
        <v>10</v>
      </c>
      <c r="C2059" s="481"/>
      <c r="D2059" s="481"/>
      <c r="E2059" s="481"/>
      <c r="F2059" s="481"/>
      <c r="G2059" s="481"/>
      <c r="H2059" s="481"/>
      <c r="I2059" s="482"/>
      <c r="J2059" s="79">
        <v>1</v>
      </c>
      <c r="K2059" s="483"/>
      <c r="L2059" s="484"/>
      <c r="M2059" s="484"/>
      <c r="N2059" s="484"/>
      <c r="O2059" s="484"/>
      <c r="P2059" s="485"/>
      <c r="Q2059" s="63"/>
      <c r="R2059" s="64"/>
    </row>
    <row r="2060" spans="1:20" x14ac:dyDescent="0.2">
      <c r="A2060" s="83"/>
      <c r="B2060" s="486" t="s">
        <v>276</v>
      </c>
      <c r="C2060" s="487"/>
      <c r="D2060" s="487"/>
      <c r="E2060" s="487"/>
      <c r="F2060" s="487"/>
      <c r="G2060" s="487"/>
      <c r="H2060" s="487"/>
      <c r="I2060" s="488"/>
      <c r="J2060" s="80">
        <v>2</v>
      </c>
      <c r="K2060" s="454"/>
      <c r="L2060" s="455"/>
      <c r="M2060" s="455"/>
      <c r="N2060" s="455"/>
      <c r="O2060" s="455"/>
      <c r="P2060" s="456"/>
      <c r="Q2060" s="63"/>
      <c r="R2060" s="64"/>
    </row>
    <row r="2061" spans="1:20" x14ac:dyDescent="0.2">
      <c r="A2061" s="83"/>
      <c r="B2061" s="489" t="s">
        <v>234</v>
      </c>
      <c r="C2061" s="490"/>
      <c r="D2061" s="490"/>
      <c r="E2061" s="490"/>
      <c r="F2061" s="490"/>
      <c r="G2061" s="490"/>
      <c r="H2061" s="490"/>
      <c r="I2061" s="491"/>
      <c r="J2061" s="80">
        <v>3</v>
      </c>
      <c r="K2061" s="454"/>
      <c r="L2061" s="455"/>
      <c r="M2061" s="455"/>
      <c r="N2061" s="455"/>
      <c r="O2061" s="455"/>
      <c r="P2061" s="456"/>
      <c r="Q2061" s="63"/>
      <c r="R2061" s="64"/>
    </row>
    <row r="2062" spans="1:20" x14ac:dyDescent="0.2">
      <c r="A2062" s="83"/>
      <c r="B2062" s="468"/>
      <c r="C2062" s="468"/>
      <c r="D2062" s="468"/>
      <c r="E2062" s="468"/>
      <c r="F2062" s="468"/>
      <c r="G2062" s="468"/>
      <c r="H2062" s="468"/>
      <c r="I2062" s="468"/>
      <c r="J2062" s="468"/>
      <c r="K2062" s="468"/>
      <c r="L2062" s="468"/>
      <c r="M2062" s="468"/>
      <c r="N2062" s="468"/>
      <c r="O2062" s="468"/>
      <c r="P2062" s="468"/>
      <c r="Q2062" s="63"/>
      <c r="R2062" s="64"/>
    </row>
    <row r="2063" spans="1:20" ht="12" customHeight="1" x14ac:dyDescent="0.2">
      <c r="A2063" s="83"/>
      <c r="B2063" s="469" t="s">
        <v>84</v>
      </c>
      <c r="C2063" s="471" t="str">
        <f>IF(CODE(B2063)=89,"This candidate would like to receive Special","This candidate would not like to receive Special")</f>
        <v>This candidate would like to receive Special</v>
      </c>
      <c r="D2063" s="472"/>
      <c r="E2063" s="472"/>
      <c r="F2063" s="472"/>
      <c r="G2063" s="472"/>
      <c r="H2063" s="472"/>
      <c r="I2063" s="473"/>
      <c r="J2063" s="81"/>
      <c r="K2063" s="474" t="s">
        <v>205</v>
      </c>
      <c r="L2063" s="474"/>
      <c r="M2063" s="475"/>
      <c r="N2063" s="51" t="str">
        <f>IF($P$33&gt;=59,59,"")</f>
        <v/>
      </c>
      <c r="O2063" s="62" t="s">
        <v>52</v>
      </c>
      <c r="P2063" s="51" t="str">
        <f>IF($P$33&gt;=59,$P$33,"")</f>
        <v/>
      </c>
      <c r="Q2063" s="63"/>
      <c r="R2063" s="64"/>
    </row>
    <row r="2064" spans="1:20" ht="12" customHeight="1" x14ac:dyDescent="0.2">
      <c r="A2064" s="83"/>
      <c r="B2064" s="470"/>
      <c r="C2064" s="476" t="str">
        <f>IF(CODE(B2063)=89,"Announcements and Bulletins from RAD Canada","Announcements and Bulletins from RAD Canada")</f>
        <v>Announcements and Bulletins from RAD Canada</v>
      </c>
      <c r="D2064" s="477"/>
      <c r="E2064" s="477"/>
      <c r="F2064" s="477"/>
      <c r="G2064" s="477"/>
      <c r="H2064" s="477"/>
      <c r="I2064" s="478"/>
      <c r="J2064" s="479"/>
      <c r="K2064" s="400"/>
      <c r="L2064" s="400"/>
      <c r="M2064" s="400"/>
      <c r="N2064" s="400"/>
      <c r="O2064" s="400"/>
      <c r="P2064" s="400"/>
      <c r="Q2064" s="63"/>
      <c r="R2064" s="64"/>
    </row>
    <row r="2065" spans="1:20" x14ac:dyDescent="0.2">
      <c r="A2065" s="83"/>
      <c r="B2065" s="81"/>
      <c r="C2065" s="81"/>
      <c r="D2065" s="81"/>
      <c r="E2065" s="81"/>
      <c r="F2065" s="81"/>
      <c r="G2065" s="81"/>
      <c r="H2065" s="81"/>
      <c r="I2065" s="81"/>
      <c r="J2065" s="81"/>
      <c r="K2065" s="81"/>
      <c r="L2065" s="81"/>
      <c r="M2065" s="81"/>
      <c r="N2065" s="81"/>
      <c r="O2065" s="81"/>
      <c r="P2065" s="81"/>
      <c r="Q2065" s="63"/>
      <c r="R2065" s="64"/>
    </row>
    <row r="2066" spans="1:20" x14ac:dyDescent="0.2">
      <c r="A2066" s="83"/>
      <c r="B2066" s="62"/>
      <c r="C2066" s="62"/>
      <c r="D2066" s="62"/>
      <c r="E2066" s="62"/>
      <c r="F2066" s="62"/>
      <c r="G2066" s="62"/>
      <c r="H2066" s="62"/>
      <c r="I2066" s="62"/>
      <c r="J2066" s="62"/>
      <c r="K2066" s="62"/>
      <c r="L2066" s="62"/>
      <c r="M2066" s="62"/>
      <c r="N2066" s="62"/>
      <c r="O2066" s="62"/>
      <c r="P2066" s="62"/>
      <c r="Q2066" s="63"/>
      <c r="R2066" s="64"/>
    </row>
    <row r="2067" spans="1:20" x14ac:dyDescent="0.2">
      <c r="A2067" s="83"/>
      <c r="B2067" s="401" t="s">
        <v>309</v>
      </c>
      <c r="C2067" s="402"/>
      <c r="D2067" s="402"/>
      <c r="E2067" s="402"/>
      <c r="F2067" s="402"/>
      <c r="G2067" s="402"/>
      <c r="H2067" s="62"/>
      <c r="I2067" s="62"/>
      <c r="J2067" s="62"/>
      <c r="K2067" s="62"/>
      <c r="L2067" s="62"/>
      <c r="M2067" s="62"/>
      <c r="N2067" s="62"/>
      <c r="O2067" s="62"/>
      <c r="P2067" s="62"/>
      <c r="Q2067" s="63"/>
      <c r="R2067" s="64"/>
    </row>
    <row r="2068" spans="1:20" ht="15.75" x14ac:dyDescent="0.25">
      <c r="A2068" s="83"/>
      <c r="B2068" s="402"/>
      <c r="C2068" s="402"/>
      <c r="D2068" s="402"/>
      <c r="E2068" s="402"/>
      <c r="F2068" s="402"/>
      <c r="G2068" s="402"/>
      <c r="H2068" s="82"/>
      <c r="I2068" s="403"/>
      <c r="J2068" s="403"/>
      <c r="K2068" s="403"/>
      <c r="L2068" s="403"/>
      <c r="M2068" s="403"/>
      <c r="N2068" s="403"/>
      <c r="O2068" s="403"/>
      <c r="P2068" s="403"/>
      <c r="Q2068" s="63"/>
      <c r="R2068" s="64"/>
    </row>
    <row r="2069" spans="1:20" x14ac:dyDescent="0.2">
      <c r="A2069" s="83"/>
      <c r="B2069" s="400"/>
      <c r="C2069" s="400"/>
      <c r="D2069" s="400"/>
      <c r="E2069" s="400"/>
      <c r="F2069" s="400"/>
      <c r="G2069" s="400"/>
      <c r="H2069" s="400"/>
      <c r="I2069" s="400"/>
      <c r="J2069" s="400"/>
      <c r="K2069" s="400"/>
      <c r="L2069" s="400"/>
      <c r="M2069" s="403"/>
      <c r="N2069" s="403"/>
      <c r="O2069" s="403"/>
      <c r="P2069" s="403"/>
      <c r="Q2069" s="63"/>
      <c r="R2069" s="64"/>
    </row>
    <row r="2070" spans="1:20" x14ac:dyDescent="0.2">
      <c r="A2070" s="83"/>
      <c r="B2070" s="404" t="s">
        <v>260</v>
      </c>
      <c r="C2070" s="404"/>
      <c r="D2070" s="404"/>
      <c r="E2070" s="404"/>
      <c r="F2070" s="400"/>
      <c r="G2070" s="400"/>
      <c r="H2070" s="400"/>
      <c r="I2070" s="400"/>
      <c r="J2070" s="400"/>
      <c r="K2070" s="400"/>
      <c r="L2070" s="400"/>
      <c r="M2070" s="403"/>
      <c r="N2070" s="403"/>
      <c r="O2070" s="403"/>
      <c r="P2070" s="403"/>
      <c r="Q2070" s="63"/>
      <c r="R2070" s="64"/>
    </row>
    <row r="2071" spans="1:20" x14ac:dyDescent="0.2">
      <c r="A2071" s="83"/>
      <c r="B2071" s="69"/>
      <c r="C2071" s="324" t="s">
        <v>75</v>
      </c>
      <c r="D2071" s="408"/>
      <c r="E2071" s="409"/>
      <c r="F2071" s="400"/>
      <c r="G2071" s="400"/>
      <c r="H2071" s="400"/>
      <c r="I2071" s="400"/>
      <c r="J2071" s="400"/>
      <c r="K2071" s="400"/>
      <c r="L2071" s="400"/>
      <c r="M2071" s="70"/>
      <c r="N2071" s="70"/>
      <c r="O2071" s="70"/>
      <c r="P2071" s="70"/>
      <c r="Q2071" s="63"/>
      <c r="R2071" s="64"/>
    </row>
    <row r="2072" spans="1:20" x14ac:dyDescent="0.2">
      <c r="A2072" s="83"/>
      <c r="B2072" s="71"/>
      <c r="C2072" s="324" t="s">
        <v>128</v>
      </c>
      <c r="D2072" s="408"/>
      <c r="E2072" s="409"/>
      <c r="F2072" s="400"/>
      <c r="G2072" s="400"/>
      <c r="H2072" s="400"/>
      <c r="I2072" s="400"/>
      <c r="J2072" s="400"/>
      <c r="K2072" s="400"/>
      <c r="L2072" s="400"/>
      <c r="M2072" s="407" t="s">
        <v>256</v>
      </c>
      <c r="N2072" s="407"/>
      <c r="O2072" s="407"/>
      <c r="P2072" s="407"/>
      <c r="Q2072" s="63"/>
      <c r="R2072" s="64"/>
    </row>
    <row r="2073" spans="1:20" x14ac:dyDescent="0.2">
      <c r="A2073" s="83"/>
      <c r="B2073" s="56"/>
      <c r="C2073" s="324" t="s">
        <v>310</v>
      </c>
      <c r="D2073" s="408"/>
      <c r="E2073" s="409"/>
      <c r="F2073" s="400"/>
      <c r="G2073" s="400"/>
      <c r="H2073" s="400"/>
      <c r="I2073" s="400"/>
      <c r="J2073" s="400"/>
      <c r="K2073" s="400"/>
      <c r="L2073" s="400"/>
      <c r="M2073" s="407"/>
      <c r="N2073" s="407"/>
      <c r="O2073" s="407"/>
      <c r="P2073" s="407"/>
      <c r="Q2073" s="63"/>
      <c r="R2073" s="64"/>
    </row>
    <row r="2074" spans="1:20" x14ac:dyDescent="0.2">
      <c r="A2074" s="83"/>
      <c r="B2074" s="520"/>
      <c r="C2074" s="520"/>
      <c r="D2074" s="520"/>
      <c r="E2074" s="520"/>
      <c r="F2074" s="520"/>
      <c r="G2074" s="520"/>
      <c r="H2074" s="520"/>
      <c r="I2074" s="520"/>
      <c r="J2074" s="520"/>
      <c r="K2074" s="520"/>
      <c r="L2074" s="520"/>
      <c r="M2074" s="520"/>
      <c r="N2074" s="520"/>
      <c r="O2074" s="520"/>
      <c r="P2074" s="520"/>
      <c r="Q2074" s="63"/>
      <c r="R2074" s="64"/>
    </row>
    <row r="2075" spans="1:20" x14ac:dyDescent="0.2">
      <c r="A2075" s="83"/>
      <c r="B2075" s="432" t="s">
        <v>117</v>
      </c>
      <c r="C2075" s="433"/>
      <c r="D2075" s="434"/>
      <c r="E2075" s="442" t="str">
        <f>IF(AND($P$33&gt;=60,NOT(ISBLANK($E$10))),$E$10,"")</f>
        <v/>
      </c>
      <c r="F2075" s="443"/>
      <c r="G2075" s="444"/>
      <c r="H2075" s="414" t="s">
        <v>124</v>
      </c>
      <c r="I2075" s="415"/>
      <c r="J2075" s="442" t="str">
        <f>IF(AND($P$33&gt;=60,NOT(ISBLANK($J$10))),$J$10,"")</f>
        <v/>
      </c>
      <c r="K2075" s="443"/>
      <c r="L2075" s="444"/>
      <c r="M2075" s="414" t="s">
        <v>118</v>
      </c>
      <c r="N2075" s="415"/>
      <c r="O2075" s="430" t="str">
        <f>IF(AND($P$33&gt;=60,NOT(ISBLANK($O$10))),$O$10,"")</f>
        <v/>
      </c>
      <c r="P2075" s="413"/>
      <c r="Q2075" s="63"/>
      <c r="R2075" s="545" t="s">
        <v>307</v>
      </c>
      <c r="S2075" s="546"/>
      <c r="T2075" s="547"/>
    </row>
    <row r="2076" spans="1:20" ht="12" customHeight="1" x14ac:dyDescent="0.2">
      <c r="A2076" s="83"/>
      <c r="B2076" s="432" t="s">
        <v>240</v>
      </c>
      <c r="C2076" s="433"/>
      <c r="D2076" s="434"/>
      <c r="E2076" s="435" t="str">
        <f>IF(NOT($N2098=60),"",IF(ISERROR(LOOKUP(60,'Teacher Summary Sheet'!$M$19:$M$181)),"",IF(VLOOKUP(60,'Teacher Summary Sheet'!$M$19:$R$181,2)=0,"",VLOOKUP(60,'Teacher Summary Sheet'!$M$19:$R$181,2))))</f>
        <v/>
      </c>
      <c r="F2076" s="436"/>
      <c r="G2076" s="437"/>
      <c r="H2076" s="438" t="s">
        <v>119</v>
      </c>
      <c r="I2076" s="439"/>
      <c r="J2076" s="102" t="str">
        <f>IF(NOT($N2098=60),"",IF(ISERROR(LOOKUP(60,'Teacher Summary Sheet'!$M$19:$M$181)),"",IF(VLOOKUP(60,'Teacher Summary Sheet'!$M$19:$R$181,6)=0,"",VLOOKUP(60,'Teacher Summary Sheet'!$M$19:$R$181,6))))</f>
        <v/>
      </c>
      <c r="K2076" s="414" t="s">
        <v>179</v>
      </c>
      <c r="L2076" s="419"/>
      <c r="M2076" s="415"/>
      <c r="N2076" s="412" t="str">
        <f>IF(NOT($N2098=60),"",IF(ISERROR(LOOKUP(60,'Teacher Summary Sheet'!$M$19:$M$181)),"",IF('Teacher Summary Sheet'!$F$31=0,"",'Teacher Summary Sheet'!$F$31)))</f>
        <v/>
      </c>
      <c r="O2076" s="440"/>
      <c r="P2076" s="413"/>
      <c r="Q2076" s="63"/>
      <c r="R2076" s="548"/>
      <c r="S2076" s="549"/>
      <c r="T2076" s="550"/>
    </row>
    <row r="2077" spans="1:20" ht="12" customHeight="1" x14ac:dyDescent="0.2">
      <c r="A2077" s="83"/>
      <c r="B2077" s="410" t="s">
        <v>241</v>
      </c>
      <c r="C2077" s="420"/>
      <c r="D2077" s="411"/>
      <c r="E2077" s="421" t="str">
        <f>IF(NOT($N2098=60),"",IF(ISERROR(LOOKUP(60,'Teacher Summary Sheet'!$M$19:$M$181)),"",IF(VLOOKUP(60,'Teacher Summary Sheet'!$M$19:$R$181,3)=0,"",VLOOKUP(60,'Teacher Summary Sheet'!$M$19:$R$181,3))))</f>
        <v/>
      </c>
      <c r="F2077" s="422"/>
      <c r="G2077" s="422"/>
      <c r="H2077" s="422"/>
      <c r="I2077" s="423"/>
      <c r="J2077" s="414" t="s">
        <v>124</v>
      </c>
      <c r="K2077" s="415"/>
      <c r="L2077" s="424" t="str">
        <f>IF(NOT($N2098=60),"",IF(ISERROR(LOOKUP(60,'Teacher Summary Sheet'!$M$19:$M$181)),"",IF(VLOOKUP(60,'Teacher Summary Sheet'!$M$19:$R$181,4)=0,"",VLOOKUP(60,'Teacher Summary Sheet'!$M$19:$R$181,4))))</f>
        <v/>
      </c>
      <c r="M2077" s="425"/>
      <c r="N2077" s="425"/>
      <c r="O2077" s="425"/>
      <c r="P2077" s="426"/>
      <c r="Q2077" s="63"/>
      <c r="R2077" s="125" t="str">
        <f>IF(NOT(N2098=60),"",IF(COUNTIF(R2079:R2085,"P")=7,"P","O"))</f>
        <v/>
      </c>
      <c r="S2077" s="110" t="str">
        <f>IF(NOT(N2098=60),"",IF(COUNTIF(R2079:R2085,"P")=7,"Complete","Incomplete"))</f>
        <v/>
      </c>
      <c r="T2077" s="111"/>
    </row>
    <row r="2078" spans="1:20" x14ac:dyDescent="0.2">
      <c r="A2078" s="83"/>
      <c r="B2078" s="410" t="s">
        <v>120</v>
      </c>
      <c r="C2078" s="420"/>
      <c r="D2078" s="411"/>
      <c r="E2078" s="427"/>
      <c r="F2078" s="428"/>
      <c r="G2078" s="428"/>
      <c r="H2078" s="428"/>
      <c r="I2078" s="428"/>
      <c r="J2078" s="429"/>
      <c r="K2078" s="62" t="s">
        <v>121</v>
      </c>
      <c r="L2078" s="427"/>
      <c r="M2078" s="428"/>
      <c r="N2078" s="428"/>
      <c r="O2078" s="428"/>
      <c r="P2078" s="429"/>
      <c r="Q2078" s="63"/>
    </row>
    <row r="2079" spans="1:20" ht="14.25" x14ac:dyDescent="0.2">
      <c r="A2079" s="83"/>
      <c r="B2079" s="410" t="s">
        <v>196</v>
      </c>
      <c r="C2079" s="420"/>
      <c r="D2079" s="411"/>
      <c r="E2079" s="427"/>
      <c r="F2079" s="428"/>
      <c r="G2079" s="428"/>
      <c r="H2079" s="428"/>
      <c r="I2079" s="429"/>
      <c r="J2079" s="73" t="s">
        <v>197</v>
      </c>
      <c r="K2079" s="405"/>
      <c r="L2079" s="406"/>
      <c r="M2079" s="414" t="s">
        <v>212</v>
      </c>
      <c r="N2079" s="415"/>
      <c r="O2079" s="405"/>
      <c r="P2079" s="406"/>
      <c r="Q2079" s="63"/>
      <c r="R2079" s="124" t="str">
        <f>IF(NOT(N2098=60),"",IF(OR(COUNTBLANK(E2077:E2077)=1,COUNTBLANK(L2077:L2077)=1),"O","P"))</f>
        <v/>
      </c>
      <c r="S2079" s="108" t="str">
        <f>IF(NOT(N2098=60),"","Candidate Name")</f>
        <v/>
      </c>
      <c r="T2079" s="64"/>
    </row>
    <row r="2080" spans="1:20" ht="14.25" x14ac:dyDescent="0.2">
      <c r="A2080" s="83"/>
      <c r="B2080" s="410" t="s">
        <v>198</v>
      </c>
      <c r="C2080" s="420"/>
      <c r="D2080" s="411"/>
      <c r="E2080" s="454"/>
      <c r="F2080" s="455"/>
      <c r="G2080" s="455"/>
      <c r="H2080" s="456"/>
      <c r="I2080" s="74" t="s">
        <v>199</v>
      </c>
      <c r="J2080" s="427"/>
      <c r="K2080" s="428"/>
      <c r="L2080" s="428"/>
      <c r="M2080" s="428"/>
      <c r="N2080" s="428"/>
      <c r="O2080" s="428"/>
      <c r="P2080" s="429"/>
      <c r="Q2080" s="63"/>
      <c r="R2080" s="124" t="str">
        <f>IF(NOT(N2098=60),"",IF(COUNTBLANK(E2076:E2076)=1,"O","P"))</f>
        <v/>
      </c>
      <c r="S2080" s="108" t="str">
        <f>IF(NOT(N2098=60),"","Candidate ID")</f>
        <v/>
      </c>
      <c r="T2080" s="64"/>
    </row>
    <row r="2081" spans="1:20" ht="14.25" x14ac:dyDescent="0.2">
      <c r="A2081" s="83"/>
      <c r="B2081" s="410" t="s">
        <v>227</v>
      </c>
      <c r="C2081" s="420"/>
      <c r="D2081" s="411"/>
      <c r="E2081" s="75" t="s">
        <v>218</v>
      </c>
      <c r="F2081" s="405"/>
      <c r="G2081" s="448"/>
      <c r="H2081" s="75" t="s">
        <v>138</v>
      </c>
      <c r="I2081" s="449"/>
      <c r="J2081" s="450"/>
      <c r="K2081" s="76" t="s">
        <v>139</v>
      </c>
      <c r="L2081" s="451"/>
      <c r="M2081" s="452"/>
      <c r="N2081" s="76" t="s">
        <v>228</v>
      </c>
      <c r="O2081" s="453" t="str">
        <f ca="1">IF(OR(ISBLANK(L2081),ISBLANK(I2081),ISBLANK(F2081),COUNTBLANK(J2076:J2076)=1),"",IF(DATEDIF(DATE(L2081,VLOOKUP(I2081,data!$T$2:$U$13,2,FALSE),F2081),IF(AND(TODAY()&lt;data!$AJ$12,TODAY()&gt;data!$AI$12),data!$AI$3,data!$AJ$3),"Y")&gt;=data!$AC$62,YEAR(TODAY())-L2081,data!$AD$3))</f>
        <v/>
      </c>
      <c r="P2081" s="413"/>
      <c r="Q2081" s="63"/>
      <c r="R2081" s="124" t="str">
        <f>IF(NOT(N2098=60),"",IF(OR(ISBLANK(E2078),ISBLANK(L2078),ISBLANK(K2079),ISBLANK(O2079)),"O","P"))</f>
        <v/>
      </c>
      <c r="S2081" s="108" t="str">
        <f>IF(NOT(N2098=60),"","Address")</f>
        <v/>
      </c>
      <c r="T2081" s="64"/>
    </row>
    <row r="2082" spans="1:20" ht="15" thickBot="1" x14ac:dyDescent="0.25">
      <c r="A2082" s="83"/>
      <c r="B2082" s="410" t="s">
        <v>214</v>
      </c>
      <c r="C2082" s="411"/>
      <c r="D2082" s="412" t="str">
        <f>IF(NOT($N2098=60),"",IF(ISERROR(LOOKUP(60,'Teacher Summary Sheet'!$M$19:$M$181)),"",IF(VLOOKUP(60,'Teacher Summary Sheet'!$M$19:$R$181,5)=0,"",VLOOKUP(60,'Teacher Summary Sheet'!$M$19:$R$181,5))))</f>
        <v/>
      </c>
      <c r="E2082" s="413"/>
      <c r="F2082" s="414" t="s">
        <v>319</v>
      </c>
      <c r="G2082" s="415"/>
      <c r="H2082" s="416"/>
      <c r="I2082" s="417"/>
      <c r="J2082" s="418"/>
      <c r="K2082" s="414" t="s">
        <v>320</v>
      </c>
      <c r="L2082" s="419"/>
      <c r="M2082" s="419"/>
      <c r="N2082" s="415"/>
      <c r="O2082" s="405" t="s">
        <v>268</v>
      </c>
      <c r="P2082" s="406"/>
      <c r="Q2082" s="63"/>
      <c r="R2082" s="124" t="str">
        <f>IF(NOT(N2098=60),"",IF(OR(ISBLANK(F2081),ISBLANK(I2081),ISBLANK(L2081)),"O","P"))</f>
        <v/>
      </c>
      <c r="S2082" s="108" t="str">
        <f>IF(NOT(N2098=60),"","Date of Birth")</f>
        <v/>
      </c>
      <c r="T2082" s="64"/>
    </row>
    <row r="2083" spans="1:20" ht="14.25" x14ac:dyDescent="0.2">
      <c r="A2083" s="83"/>
      <c r="B2083" s="522" t="s">
        <v>297</v>
      </c>
      <c r="C2083" s="463"/>
      <c r="D2083" s="463"/>
      <c r="E2083" s="463"/>
      <c r="F2083" s="463"/>
      <c r="G2083" s="463"/>
      <c r="H2083" s="463"/>
      <c r="I2083" s="463"/>
      <c r="J2083" s="463"/>
      <c r="K2083" s="463"/>
      <c r="L2083" s="463"/>
      <c r="M2083" s="463"/>
      <c r="N2083" s="463"/>
      <c r="O2083" s="463"/>
      <c r="P2083" s="464"/>
      <c r="Q2083" s="63"/>
      <c r="R2083" s="124" t="str">
        <f>IF(NOT(N2098=60),"",IF(COUNTBLANK(J2076:J2076)=1,"O","P"))</f>
        <v/>
      </c>
      <c r="S2083" s="112" t="str">
        <f>IF(NOT(N2098=60),"","Exam Level")</f>
        <v/>
      </c>
      <c r="T2083" s="64"/>
    </row>
    <row r="2084" spans="1:20" ht="14.25" x14ac:dyDescent="0.2">
      <c r="A2084" s="83"/>
      <c r="B2084" s="465"/>
      <c r="C2084" s="466"/>
      <c r="D2084" s="466"/>
      <c r="E2084" s="466"/>
      <c r="F2084" s="466"/>
      <c r="G2084" s="466"/>
      <c r="H2084" s="466"/>
      <c r="I2084" s="466"/>
      <c r="J2084" s="466"/>
      <c r="K2084" s="466"/>
      <c r="L2084" s="466"/>
      <c r="M2084" s="466"/>
      <c r="N2084" s="466"/>
      <c r="O2084" s="466"/>
      <c r="P2084" s="467"/>
      <c r="Q2084" s="63"/>
      <c r="R2084" s="124" t="str">
        <f>IF(NOT(N2098=60),"",IF(COUNTBLANK(D2082:D2082)=1,"O","P"))</f>
        <v/>
      </c>
      <c r="S2084" s="109" t="str">
        <f>IF(NOT(N2098=60),"","Gender")</f>
        <v/>
      </c>
      <c r="T2084" s="64"/>
    </row>
    <row r="2085" spans="1:20" ht="14.25" x14ac:dyDescent="0.2">
      <c r="A2085" s="83"/>
      <c r="B2085" s="432" t="s">
        <v>298</v>
      </c>
      <c r="C2085" s="433"/>
      <c r="D2085" s="434"/>
      <c r="E2085" s="405"/>
      <c r="F2085" s="406"/>
      <c r="G2085" s="432" t="s">
        <v>299</v>
      </c>
      <c r="H2085" s="433"/>
      <c r="I2085" s="434"/>
      <c r="J2085" s="405"/>
      <c r="K2085" s="448"/>
      <c r="L2085" s="406"/>
      <c r="M2085" s="414" t="s">
        <v>300</v>
      </c>
      <c r="N2085" s="415"/>
      <c r="O2085" s="457"/>
      <c r="P2085" s="458"/>
      <c r="Q2085" s="63"/>
      <c r="R2085" s="124" t="str">
        <f>IF(NOT(N2098=60),"",IF(ISBLANK(H2082),"O","P"))</f>
        <v/>
      </c>
      <c r="S2085" s="109" t="str">
        <f>IF(NOT(N2098=60),"","Height")</f>
        <v/>
      </c>
      <c r="T2085" s="64"/>
    </row>
    <row r="2086" spans="1:20" x14ac:dyDescent="0.2">
      <c r="A2086" s="83"/>
      <c r="B2086" s="77" t="s">
        <v>153</v>
      </c>
      <c r="C2086" s="405"/>
      <c r="D2086" s="406"/>
      <c r="E2086" s="414" t="s">
        <v>301</v>
      </c>
      <c r="F2086" s="415"/>
      <c r="G2086" s="459"/>
      <c r="H2086" s="460"/>
      <c r="I2086" s="461"/>
      <c r="J2086" s="414" t="s">
        <v>302</v>
      </c>
      <c r="K2086" s="415"/>
      <c r="L2086" s="454"/>
      <c r="M2086" s="455"/>
      <c r="N2086" s="455"/>
      <c r="O2086" s="455"/>
      <c r="P2086" s="456"/>
      <c r="Q2086" s="63"/>
      <c r="R2086" s="64"/>
      <c r="S2086" s="64"/>
      <c r="T2086" s="64"/>
    </row>
    <row r="2087" spans="1:20" x14ac:dyDescent="0.2">
      <c r="A2087" s="83"/>
      <c r="B2087" s="410" t="s">
        <v>116</v>
      </c>
      <c r="C2087" s="420"/>
      <c r="D2087" s="420"/>
      <c r="E2087" s="420"/>
      <c r="F2087" s="420"/>
      <c r="G2087" s="420"/>
      <c r="H2087" s="420"/>
      <c r="I2087" s="420"/>
      <c r="J2087" s="420"/>
      <c r="K2087" s="420"/>
      <c r="L2087" s="420"/>
      <c r="M2087" s="420"/>
      <c r="N2087" s="420"/>
      <c r="O2087" s="420"/>
      <c r="P2087" s="411"/>
      <c r="Q2087" s="63"/>
      <c r="R2087" s="64"/>
      <c r="S2087" s="64"/>
      <c r="T2087" s="64"/>
    </row>
    <row r="2088" spans="1:20" x14ac:dyDescent="0.2">
      <c r="A2088" s="83"/>
      <c r="B2088" s="410" t="s">
        <v>298</v>
      </c>
      <c r="C2088" s="420"/>
      <c r="D2088" s="411"/>
      <c r="E2088" s="405"/>
      <c r="F2088" s="406"/>
      <c r="G2088" s="410" t="s">
        <v>299</v>
      </c>
      <c r="H2088" s="420"/>
      <c r="I2088" s="411"/>
      <c r="J2088" s="454"/>
      <c r="K2088" s="455"/>
      <c r="L2088" s="456"/>
      <c r="M2088" s="414" t="s">
        <v>300</v>
      </c>
      <c r="N2088" s="415"/>
      <c r="O2088" s="457"/>
      <c r="P2088" s="458"/>
      <c r="Q2088" s="63"/>
      <c r="R2088" s="64"/>
    </row>
    <row r="2089" spans="1:20" ht="13.5" thickBot="1" x14ac:dyDescent="0.25">
      <c r="A2089" s="83"/>
      <c r="B2089" s="78" t="s">
        <v>153</v>
      </c>
      <c r="C2089" s="492"/>
      <c r="D2089" s="493"/>
      <c r="E2089" s="494" t="s">
        <v>301</v>
      </c>
      <c r="F2089" s="495"/>
      <c r="G2089" s="496"/>
      <c r="H2089" s="497"/>
      <c r="I2089" s="498"/>
      <c r="J2089" s="414" t="s">
        <v>302</v>
      </c>
      <c r="K2089" s="415"/>
      <c r="L2089" s="454"/>
      <c r="M2089" s="455"/>
      <c r="N2089" s="455"/>
      <c r="O2089" s="455"/>
      <c r="P2089" s="456"/>
      <c r="Q2089" s="63"/>
      <c r="R2089" s="64"/>
    </row>
    <row r="2090" spans="1:20" x14ac:dyDescent="0.2">
      <c r="A2090" s="83"/>
      <c r="B2090" s="499" t="s">
        <v>126</v>
      </c>
      <c r="C2090" s="500"/>
      <c r="D2090" s="500"/>
      <c r="E2090" s="500"/>
      <c r="F2090" s="500"/>
      <c r="G2090" s="500"/>
      <c r="H2090" s="500"/>
      <c r="I2090" s="501"/>
      <c r="J2090" s="505"/>
      <c r="K2090" s="506"/>
      <c r="L2090" s="506"/>
      <c r="M2090" s="506"/>
      <c r="N2090" s="506"/>
      <c r="O2090" s="506"/>
      <c r="P2090" s="507"/>
      <c r="Q2090" s="63"/>
      <c r="R2090" s="64"/>
    </row>
    <row r="2091" spans="1:20" x14ac:dyDescent="0.2">
      <c r="A2091" s="83"/>
      <c r="B2091" s="502"/>
      <c r="C2091" s="503"/>
      <c r="D2091" s="503"/>
      <c r="E2091" s="503"/>
      <c r="F2091" s="503"/>
      <c r="G2091" s="503"/>
      <c r="H2091" s="503"/>
      <c r="I2091" s="504"/>
      <c r="J2091" s="508"/>
      <c r="K2091" s="509"/>
      <c r="L2091" s="509"/>
      <c r="M2091" s="509"/>
      <c r="N2091" s="509"/>
      <c r="O2091" s="509"/>
      <c r="P2091" s="510"/>
      <c r="Q2091" s="63"/>
      <c r="R2091" s="64"/>
    </row>
    <row r="2092" spans="1:20" x14ac:dyDescent="0.2">
      <c r="A2092" s="83"/>
      <c r="B2092" s="514" t="s">
        <v>127</v>
      </c>
      <c r="C2092" s="515"/>
      <c r="D2092" s="515"/>
      <c r="E2092" s="515"/>
      <c r="F2092" s="515"/>
      <c r="G2092" s="515"/>
      <c r="H2092" s="515"/>
      <c r="I2092" s="516"/>
      <c r="J2092" s="508"/>
      <c r="K2092" s="509"/>
      <c r="L2092" s="509"/>
      <c r="M2092" s="509"/>
      <c r="N2092" s="509"/>
      <c r="O2092" s="509"/>
      <c r="P2092" s="510"/>
      <c r="Q2092" s="63"/>
      <c r="R2092" s="64"/>
    </row>
    <row r="2093" spans="1:20" ht="13.5" thickBot="1" x14ac:dyDescent="0.25">
      <c r="A2093" s="83"/>
      <c r="B2093" s="517"/>
      <c r="C2093" s="518"/>
      <c r="D2093" s="518"/>
      <c r="E2093" s="518"/>
      <c r="F2093" s="518"/>
      <c r="G2093" s="518"/>
      <c r="H2093" s="518"/>
      <c r="I2093" s="519"/>
      <c r="J2093" s="511"/>
      <c r="K2093" s="512"/>
      <c r="L2093" s="512"/>
      <c r="M2093" s="512"/>
      <c r="N2093" s="512"/>
      <c r="O2093" s="512"/>
      <c r="P2093" s="513"/>
      <c r="Q2093" s="63"/>
      <c r="R2093" s="64"/>
    </row>
    <row r="2094" spans="1:20" x14ac:dyDescent="0.2">
      <c r="A2094" s="83"/>
      <c r="B2094" s="480" t="s">
        <v>10</v>
      </c>
      <c r="C2094" s="481"/>
      <c r="D2094" s="481"/>
      <c r="E2094" s="481"/>
      <c r="F2094" s="481"/>
      <c r="G2094" s="481"/>
      <c r="H2094" s="481"/>
      <c r="I2094" s="482"/>
      <c r="J2094" s="79">
        <v>1</v>
      </c>
      <c r="K2094" s="483"/>
      <c r="L2094" s="484"/>
      <c r="M2094" s="484"/>
      <c r="N2094" s="484"/>
      <c r="O2094" s="484"/>
      <c r="P2094" s="485"/>
      <c r="Q2094" s="63"/>
      <c r="R2094" s="64"/>
    </row>
    <row r="2095" spans="1:20" x14ac:dyDescent="0.2">
      <c r="A2095" s="83"/>
      <c r="B2095" s="486" t="s">
        <v>276</v>
      </c>
      <c r="C2095" s="487"/>
      <c r="D2095" s="487"/>
      <c r="E2095" s="487"/>
      <c r="F2095" s="487"/>
      <c r="G2095" s="487"/>
      <c r="H2095" s="487"/>
      <c r="I2095" s="488"/>
      <c r="J2095" s="80">
        <v>2</v>
      </c>
      <c r="K2095" s="454"/>
      <c r="L2095" s="455"/>
      <c r="M2095" s="455"/>
      <c r="N2095" s="455"/>
      <c r="O2095" s="455"/>
      <c r="P2095" s="456"/>
      <c r="Q2095" s="63"/>
      <c r="R2095" s="64"/>
    </row>
    <row r="2096" spans="1:20" x14ac:dyDescent="0.2">
      <c r="A2096" s="83"/>
      <c r="B2096" s="489" t="s">
        <v>234</v>
      </c>
      <c r="C2096" s="490"/>
      <c r="D2096" s="490"/>
      <c r="E2096" s="490"/>
      <c r="F2096" s="490"/>
      <c r="G2096" s="490"/>
      <c r="H2096" s="490"/>
      <c r="I2096" s="491"/>
      <c r="J2096" s="80">
        <v>3</v>
      </c>
      <c r="K2096" s="454"/>
      <c r="L2096" s="455"/>
      <c r="M2096" s="455"/>
      <c r="N2096" s="455"/>
      <c r="O2096" s="455"/>
      <c r="P2096" s="456"/>
      <c r="Q2096" s="63"/>
      <c r="R2096" s="64"/>
    </row>
    <row r="2097" spans="1:18" x14ac:dyDescent="0.2">
      <c r="A2097" s="83"/>
      <c r="B2097" s="468"/>
      <c r="C2097" s="468"/>
      <c r="D2097" s="468"/>
      <c r="E2097" s="468"/>
      <c r="F2097" s="468"/>
      <c r="G2097" s="468"/>
      <c r="H2097" s="468"/>
      <c r="I2097" s="468"/>
      <c r="J2097" s="468"/>
      <c r="K2097" s="468"/>
      <c r="L2097" s="468"/>
      <c r="M2097" s="468"/>
      <c r="N2097" s="468"/>
      <c r="O2097" s="468"/>
      <c r="P2097" s="468"/>
      <c r="Q2097" s="63"/>
      <c r="R2097" s="64"/>
    </row>
    <row r="2098" spans="1:18" ht="12" customHeight="1" x14ac:dyDescent="0.2">
      <c r="A2098" s="83"/>
      <c r="B2098" s="469" t="s">
        <v>84</v>
      </c>
      <c r="C2098" s="471" t="str">
        <f>IF(CODE(B2098)=89,"This candidate would like to receive Special","This candidate would not like to receive Special")</f>
        <v>This candidate would like to receive Special</v>
      </c>
      <c r="D2098" s="472"/>
      <c r="E2098" s="472"/>
      <c r="F2098" s="472"/>
      <c r="G2098" s="472"/>
      <c r="H2098" s="472"/>
      <c r="I2098" s="473"/>
      <c r="J2098" s="81"/>
      <c r="K2098" s="474" t="s">
        <v>205</v>
      </c>
      <c r="L2098" s="474"/>
      <c r="M2098" s="475"/>
      <c r="N2098" s="51" t="str">
        <f>IF($P$33&gt;=60,60,"")</f>
        <v/>
      </c>
      <c r="O2098" s="62" t="s">
        <v>52</v>
      </c>
      <c r="P2098" s="51" t="str">
        <f>IF($P$33&gt;=60,$P$33,"")</f>
        <v/>
      </c>
      <c r="Q2098" s="63"/>
      <c r="R2098" s="64"/>
    </row>
    <row r="2099" spans="1:18" ht="12" customHeight="1" x14ac:dyDescent="0.2">
      <c r="A2099" s="83"/>
      <c r="B2099" s="470"/>
      <c r="C2099" s="476" t="str">
        <f>IF(CODE(B2098)=89,"Announcements and Bulletins from RAD Canada","Announcements and Bulletins from RAD Canada")</f>
        <v>Announcements and Bulletins from RAD Canada</v>
      </c>
      <c r="D2099" s="477"/>
      <c r="E2099" s="477"/>
      <c r="F2099" s="477"/>
      <c r="G2099" s="477"/>
      <c r="H2099" s="477"/>
      <c r="I2099" s="478"/>
      <c r="J2099" s="479"/>
      <c r="K2099" s="400"/>
      <c r="L2099" s="400"/>
      <c r="M2099" s="400"/>
      <c r="N2099" s="400"/>
      <c r="O2099" s="400"/>
      <c r="P2099" s="400"/>
      <c r="Q2099" s="63"/>
      <c r="R2099" s="64"/>
    </row>
    <row r="2100" spans="1:18" x14ac:dyDescent="0.2">
      <c r="A2100" s="63"/>
      <c r="Q2100" s="63"/>
      <c r="R2100" s="64"/>
    </row>
    <row r="2101" spans="1:18" x14ac:dyDescent="0.2">
      <c r="R2101" s="64"/>
    </row>
    <row r="2102" spans="1:18" x14ac:dyDescent="0.2">
      <c r="R2102" s="64"/>
    </row>
    <row r="2103" spans="1:18" x14ac:dyDescent="0.2">
      <c r="R2103" s="64"/>
    </row>
    <row r="2104" spans="1:18" x14ac:dyDescent="0.2">
      <c r="R2104" s="64"/>
    </row>
    <row r="2105" spans="1:18" x14ac:dyDescent="0.2">
      <c r="R2105" s="64"/>
    </row>
    <row r="2106" spans="1:18" x14ac:dyDescent="0.2">
      <c r="R2106" s="64"/>
    </row>
    <row r="2107" spans="1:18" x14ac:dyDescent="0.2">
      <c r="R2107" s="64"/>
    </row>
    <row r="2108" spans="1:18" x14ac:dyDescent="0.2">
      <c r="R2108" s="64"/>
    </row>
    <row r="2109" spans="1:18" x14ac:dyDescent="0.2">
      <c r="R2109" s="64"/>
    </row>
    <row r="2110" spans="1:18" x14ac:dyDescent="0.2">
      <c r="R2110" s="64"/>
    </row>
    <row r="2111" spans="1:18" x14ac:dyDescent="0.2">
      <c r="R2111" s="64"/>
    </row>
    <row r="2112" spans="1:18" x14ac:dyDescent="0.2">
      <c r="R2112" s="64"/>
    </row>
    <row r="2113" spans="18:18" x14ac:dyDescent="0.2">
      <c r="R2113" s="64"/>
    </row>
    <row r="2114" spans="18:18" x14ac:dyDescent="0.2">
      <c r="R2114" s="64"/>
    </row>
    <row r="2115" spans="18:18" x14ac:dyDescent="0.2">
      <c r="R2115" s="64"/>
    </row>
    <row r="2116" spans="18:18" x14ac:dyDescent="0.2">
      <c r="R2116" s="64"/>
    </row>
    <row r="2117" spans="18:18" x14ac:dyDescent="0.2">
      <c r="R2117" s="64"/>
    </row>
    <row r="2118" spans="18:18" x14ac:dyDescent="0.2">
      <c r="R2118" s="64"/>
    </row>
  </sheetData>
  <sheetProtection password="86D3" sheet="1" objects="1" scenarios="1"/>
  <mergeCells count="5309">
    <mergeCell ref="R990:T991"/>
    <mergeCell ref="R955:T956"/>
    <mergeCell ref="R1340:T1341"/>
    <mergeCell ref="R1305:T1306"/>
    <mergeCell ref="R1270:T1271"/>
    <mergeCell ref="R1235:T1236"/>
    <mergeCell ref="R1200:T1201"/>
    <mergeCell ref="R1165:T1166"/>
    <mergeCell ref="R80:T81"/>
    <mergeCell ref="R45:T46"/>
    <mergeCell ref="R290:T291"/>
    <mergeCell ref="R255:T256"/>
    <mergeCell ref="R220:T221"/>
    <mergeCell ref="R185:T186"/>
    <mergeCell ref="R150:T151"/>
    <mergeCell ref="R115:T116"/>
    <mergeCell ref="R500:T501"/>
    <mergeCell ref="R465:T466"/>
    <mergeCell ref="R430:T431"/>
    <mergeCell ref="R395:T396"/>
    <mergeCell ref="R360:T361"/>
    <mergeCell ref="R325:T326"/>
    <mergeCell ref="R710:T711"/>
    <mergeCell ref="R675:T676"/>
    <mergeCell ref="R640:T641"/>
    <mergeCell ref="R605:T606"/>
    <mergeCell ref="R570:T571"/>
    <mergeCell ref="R535:T536"/>
    <mergeCell ref="R1550:T1551"/>
    <mergeCell ref="R1515:T1516"/>
    <mergeCell ref="R1480:T1481"/>
    <mergeCell ref="R1445:T1446"/>
    <mergeCell ref="R1410:T1411"/>
    <mergeCell ref="R1375:T1376"/>
    <mergeCell ref="R1760:T1761"/>
    <mergeCell ref="R1725:T1726"/>
    <mergeCell ref="R1690:T1691"/>
    <mergeCell ref="R1655:T1656"/>
    <mergeCell ref="R1620:T1621"/>
    <mergeCell ref="R1585:T1586"/>
    <mergeCell ref="R10:T11"/>
    <mergeCell ref="R2075:T2076"/>
    <mergeCell ref="R2040:T2041"/>
    <mergeCell ref="R2005:T2006"/>
    <mergeCell ref="R1970:T1971"/>
    <mergeCell ref="R1935:T1936"/>
    <mergeCell ref="R1900:T1901"/>
    <mergeCell ref="R1865:T1866"/>
    <mergeCell ref="R1830:T1831"/>
    <mergeCell ref="R1795:T1796"/>
    <mergeCell ref="R920:T921"/>
    <mergeCell ref="R885:T886"/>
    <mergeCell ref="R850:T851"/>
    <mergeCell ref="R815:T816"/>
    <mergeCell ref="R780:T781"/>
    <mergeCell ref="R745:T746"/>
    <mergeCell ref="R1130:T1131"/>
    <mergeCell ref="R1095:T1096"/>
    <mergeCell ref="R1060:T1061"/>
    <mergeCell ref="R1025:T1026"/>
    <mergeCell ref="B2097:P2097"/>
    <mergeCell ref="B2098:B2099"/>
    <mergeCell ref="C2098:I2098"/>
    <mergeCell ref="K2098:M2098"/>
    <mergeCell ref="C2099:I2099"/>
    <mergeCell ref="J2099:P2099"/>
    <mergeCell ref="B2094:I2094"/>
    <mergeCell ref="K2094:P2094"/>
    <mergeCell ref="B2095:I2095"/>
    <mergeCell ref="K2095:P2095"/>
    <mergeCell ref="B2096:I2096"/>
    <mergeCell ref="K2096:P2096"/>
    <mergeCell ref="C2089:D2089"/>
    <mergeCell ref="E2089:F2089"/>
    <mergeCell ref="G2089:I2089"/>
    <mergeCell ref="J2089:K2089"/>
    <mergeCell ref="L2089:P2089"/>
    <mergeCell ref="B2090:I2091"/>
    <mergeCell ref="J2090:P2093"/>
    <mergeCell ref="B2092:I2093"/>
    <mergeCell ref="B2088:D2088"/>
    <mergeCell ref="E2088:F2088"/>
    <mergeCell ref="G2088:I2088"/>
    <mergeCell ref="J2088:L2088"/>
    <mergeCell ref="M2088:N2088"/>
    <mergeCell ref="O2088:P2088"/>
    <mergeCell ref="C2086:D2086"/>
    <mergeCell ref="E2086:F2086"/>
    <mergeCell ref="G2086:I2086"/>
    <mergeCell ref="J2086:K2086"/>
    <mergeCell ref="L2086:P2086"/>
    <mergeCell ref="B2087:P2087"/>
    <mergeCell ref="B2083:P2084"/>
    <mergeCell ref="B2085:D2085"/>
    <mergeCell ref="E2085:F2085"/>
    <mergeCell ref="G2085:I2085"/>
    <mergeCell ref="J2085:L2085"/>
    <mergeCell ref="M2085:N2085"/>
    <mergeCell ref="O2085:P2085"/>
    <mergeCell ref="B2082:C2082"/>
    <mergeCell ref="D2082:E2082"/>
    <mergeCell ref="F2082:G2082"/>
    <mergeCell ref="H2082:J2082"/>
    <mergeCell ref="K2082:N2082"/>
    <mergeCell ref="O2082:P2082"/>
    <mergeCell ref="B2080:D2080"/>
    <mergeCell ref="E2080:H2080"/>
    <mergeCell ref="J2080:P2080"/>
    <mergeCell ref="B2081:D2081"/>
    <mergeCell ref="F2081:G2081"/>
    <mergeCell ref="I2081:J2081"/>
    <mergeCell ref="L2081:M2081"/>
    <mergeCell ref="O2081:P2081"/>
    <mergeCell ref="B2078:D2078"/>
    <mergeCell ref="E2078:J2078"/>
    <mergeCell ref="L2078:P2078"/>
    <mergeCell ref="B2079:D2079"/>
    <mergeCell ref="E2079:I2079"/>
    <mergeCell ref="K2079:L2079"/>
    <mergeCell ref="M2079:N2079"/>
    <mergeCell ref="O2079:P2079"/>
    <mergeCell ref="B2076:D2076"/>
    <mergeCell ref="E2076:G2076"/>
    <mergeCell ref="H2076:I2076"/>
    <mergeCell ref="K2076:M2076"/>
    <mergeCell ref="N2076:P2076"/>
    <mergeCell ref="B2077:D2077"/>
    <mergeCell ref="E2077:I2077"/>
    <mergeCell ref="J2077:K2077"/>
    <mergeCell ref="L2077:P2077"/>
    <mergeCell ref="B2074:P2074"/>
    <mergeCell ref="B2075:D2075"/>
    <mergeCell ref="E2075:G2075"/>
    <mergeCell ref="H2075:I2075"/>
    <mergeCell ref="J2075:L2075"/>
    <mergeCell ref="M2075:N2075"/>
    <mergeCell ref="O2075:P2075"/>
    <mergeCell ref="B2067:G2068"/>
    <mergeCell ref="I2068:P2068"/>
    <mergeCell ref="B2069:E2069"/>
    <mergeCell ref="F2069:L2073"/>
    <mergeCell ref="M2069:P2070"/>
    <mergeCell ref="B2070:E2070"/>
    <mergeCell ref="C2071:E2071"/>
    <mergeCell ref="C2072:E2072"/>
    <mergeCell ref="M2072:P2073"/>
    <mergeCell ref="C2073:E2073"/>
    <mergeCell ref="B2062:P2062"/>
    <mergeCell ref="B2063:B2064"/>
    <mergeCell ref="C2063:I2063"/>
    <mergeCell ref="K2063:M2063"/>
    <mergeCell ref="C2064:I2064"/>
    <mergeCell ref="J2064:P2064"/>
    <mergeCell ref="B2059:I2059"/>
    <mergeCell ref="K2059:P2059"/>
    <mergeCell ref="B2060:I2060"/>
    <mergeCell ref="K2060:P2060"/>
    <mergeCell ref="B2061:I2061"/>
    <mergeCell ref="K2061:P2061"/>
    <mergeCell ref="C2054:D2054"/>
    <mergeCell ref="E2054:F2054"/>
    <mergeCell ref="G2054:I2054"/>
    <mergeCell ref="J2054:K2054"/>
    <mergeCell ref="L2054:P2054"/>
    <mergeCell ref="B2055:I2056"/>
    <mergeCell ref="J2055:P2058"/>
    <mergeCell ref="B2057:I2058"/>
    <mergeCell ref="B2053:D2053"/>
    <mergeCell ref="E2053:F2053"/>
    <mergeCell ref="G2053:I2053"/>
    <mergeCell ref="J2053:L2053"/>
    <mergeCell ref="M2053:N2053"/>
    <mergeCell ref="O2053:P2053"/>
    <mergeCell ref="C2051:D2051"/>
    <mergeCell ref="E2051:F2051"/>
    <mergeCell ref="G2051:I2051"/>
    <mergeCell ref="J2051:K2051"/>
    <mergeCell ref="L2051:P2051"/>
    <mergeCell ref="B2052:P2052"/>
    <mergeCell ref="B2048:P2049"/>
    <mergeCell ref="B2050:D2050"/>
    <mergeCell ref="E2050:F2050"/>
    <mergeCell ref="G2050:I2050"/>
    <mergeCell ref="J2050:L2050"/>
    <mergeCell ref="M2050:N2050"/>
    <mergeCell ref="O2050:P2050"/>
    <mergeCell ref="B2047:C2047"/>
    <mergeCell ref="D2047:E2047"/>
    <mergeCell ref="F2047:G2047"/>
    <mergeCell ref="H2047:J2047"/>
    <mergeCell ref="K2047:N2047"/>
    <mergeCell ref="O2047:P2047"/>
    <mergeCell ref="B2045:D2045"/>
    <mergeCell ref="E2045:H2045"/>
    <mergeCell ref="J2045:P2045"/>
    <mergeCell ref="B2046:D2046"/>
    <mergeCell ref="F2046:G2046"/>
    <mergeCell ref="I2046:J2046"/>
    <mergeCell ref="L2046:M2046"/>
    <mergeCell ref="O2046:P2046"/>
    <mergeCell ref="B2043:D2043"/>
    <mergeCell ref="E2043:J2043"/>
    <mergeCell ref="L2043:P2043"/>
    <mergeCell ref="B2044:D2044"/>
    <mergeCell ref="E2044:I2044"/>
    <mergeCell ref="K2044:L2044"/>
    <mergeCell ref="M2044:N2044"/>
    <mergeCell ref="O2044:P2044"/>
    <mergeCell ref="B2041:D2041"/>
    <mergeCell ref="E2041:G2041"/>
    <mergeCell ref="H2041:I2041"/>
    <mergeCell ref="K2041:M2041"/>
    <mergeCell ref="N2041:P2041"/>
    <mergeCell ref="B2042:D2042"/>
    <mergeCell ref="E2042:I2042"/>
    <mergeCell ref="J2042:K2042"/>
    <mergeCell ref="L2042:P2042"/>
    <mergeCell ref="B2039:P2039"/>
    <mergeCell ref="B2040:D2040"/>
    <mergeCell ref="E2040:G2040"/>
    <mergeCell ref="H2040:I2040"/>
    <mergeCell ref="J2040:L2040"/>
    <mergeCell ref="M2040:N2040"/>
    <mergeCell ref="O2040:P2040"/>
    <mergeCell ref="B2032:G2033"/>
    <mergeCell ref="I2033:P2033"/>
    <mergeCell ref="B2034:E2034"/>
    <mergeCell ref="F2034:L2038"/>
    <mergeCell ref="M2034:P2035"/>
    <mergeCell ref="B2035:E2035"/>
    <mergeCell ref="C2036:E2036"/>
    <mergeCell ref="C2037:E2037"/>
    <mergeCell ref="M2037:P2038"/>
    <mergeCell ref="C2038:E2038"/>
    <mergeCell ref="B2027:P2027"/>
    <mergeCell ref="B2028:B2029"/>
    <mergeCell ref="C2028:I2028"/>
    <mergeCell ref="K2028:M2028"/>
    <mergeCell ref="C2029:I2029"/>
    <mergeCell ref="J2029:P2029"/>
    <mergeCell ref="B2024:I2024"/>
    <mergeCell ref="K2024:P2024"/>
    <mergeCell ref="B2025:I2025"/>
    <mergeCell ref="K2025:P2025"/>
    <mergeCell ref="B2026:I2026"/>
    <mergeCell ref="K2026:P2026"/>
    <mergeCell ref="C2019:D2019"/>
    <mergeCell ref="E2019:F2019"/>
    <mergeCell ref="G2019:I2019"/>
    <mergeCell ref="J2019:K2019"/>
    <mergeCell ref="L2019:P2019"/>
    <mergeCell ref="B2020:I2021"/>
    <mergeCell ref="J2020:P2023"/>
    <mergeCell ref="B2022:I2023"/>
    <mergeCell ref="B2018:D2018"/>
    <mergeCell ref="E2018:F2018"/>
    <mergeCell ref="G2018:I2018"/>
    <mergeCell ref="J2018:L2018"/>
    <mergeCell ref="M2018:N2018"/>
    <mergeCell ref="O2018:P2018"/>
    <mergeCell ref="C2016:D2016"/>
    <mergeCell ref="E2016:F2016"/>
    <mergeCell ref="G2016:I2016"/>
    <mergeCell ref="J2016:K2016"/>
    <mergeCell ref="L2016:P2016"/>
    <mergeCell ref="B2017:P2017"/>
    <mergeCell ref="B2013:P2014"/>
    <mergeCell ref="B2015:D2015"/>
    <mergeCell ref="E2015:F2015"/>
    <mergeCell ref="G2015:I2015"/>
    <mergeCell ref="J2015:L2015"/>
    <mergeCell ref="M2015:N2015"/>
    <mergeCell ref="O2015:P2015"/>
    <mergeCell ref="B2012:C2012"/>
    <mergeCell ref="D2012:E2012"/>
    <mergeCell ref="F2012:G2012"/>
    <mergeCell ref="H2012:J2012"/>
    <mergeCell ref="K2012:N2012"/>
    <mergeCell ref="O2012:P2012"/>
    <mergeCell ref="B2010:D2010"/>
    <mergeCell ref="E2010:H2010"/>
    <mergeCell ref="J2010:P2010"/>
    <mergeCell ref="B2011:D2011"/>
    <mergeCell ref="F2011:G2011"/>
    <mergeCell ref="I2011:J2011"/>
    <mergeCell ref="L2011:M2011"/>
    <mergeCell ref="O2011:P2011"/>
    <mergeCell ref="B2008:D2008"/>
    <mergeCell ref="E2008:J2008"/>
    <mergeCell ref="L2008:P2008"/>
    <mergeCell ref="B2009:D2009"/>
    <mergeCell ref="E2009:I2009"/>
    <mergeCell ref="K2009:L2009"/>
    <mergeCell ref="M2009:N2009"/>
    <mergeCell ref="O2009:P2009"/>
    <mergeCell ref="B2006:D2006"/>
    <mergeCell ref="E2006:G2006"/>
    <mergeCell ref="H2006:I2006"/>
    <mergeCell ref="K2006:M2006"/>
    <mergeCell ref="N2006:P2006"/>
    <mergeCell ref="B2007:D2007"/>
    <mergeCell ref="E2007:I2007"/>
    <mergeCell ref="J2007:K2007"/>
    <mergeCell ref="L2007:P2007"/>
    <mergeCell ref="B2004:P2004"/>
    <mergeCell ref="B2005:D2005"/>
    <mergeCell ref="E2005:G2005"/>
    <mergeCell ref="H2005:I2005"/>
    <mergeCell ref="J2005:L2005"/>
    <mergeCell ref="M2005:N2005"/>
    <mergeCell ref="O2005:P2005"/>
    <mergeCell ref="B1997:G1998"/>
    <mergeCell ref="I1998:P1998"/>
    <mergeCell ref="B1999:E1999"/>
    <mergeCell ref="F1999:L2003"/>
    <mergeCell ref="M1999:P2000"/>
    <mergeCell ref="B2000:E2000"/>
    <mergeCell ref="C2001:E2001"/>
    <mergeCell ref="C2002:E2002"/>
    <mergeCell ref="M2002:P2003"/>
    <mergeCell ref="C2003:E2003"/>
    <mergeCell ref="B1992:P1992"/>
    <mergeCell ref="B1993:B1994"/>
    <mergeCell ref="C1993:I1993"/>
    <mergeCell ref="K1993:M1993"/>
    <mergeCell ref="C1994:I1994"/>
    <mergeCell ref="J1994:P1994"/>
    <mergeCell ref="B1989:I1989"/>
    <mergeCell ref="K1989:P1989"/>
    <mergeCell ref="B1990:I1990"/>
    <mergeCell ref="K1990:P1990"/>
    <mergeCell ref="B1991:I1991"/>
    <mergeCell ref="K1991:P1991"/>
    <mergeCell ref="C1984:D1984"/>
    <mergeCell ref="E1984:F1984"/>
    <mergeCell ref="G1984:I1984"/>
    <mergeCell ref="J1984:K1984"/>
    <mergeCell ref="L1984:P1984"/>
    <mergeCell ref="B1985:I1986"/>
    <mergeCell ref="J1985:P1988"/>
    <mergeCell ref="B1987:I1988"/>
    <mergeCell ref="B1983:D1983"/>
    <mergeCell ref="E1983:F1983"/>
    <mergeCell ref="G1983:I1983"/>
    <mergeCell ref="J1983:L1983"/>
    <mergeCell ref="M1983:N1983"/>
    <mergeCell ref="O1983:P1983"/>
    <mergeCell ref="C1981:D1981"/>
    <mergeCell ref="E1981:F1981"/>
    <mergeCell ref="G1981:I1981"/>
    <mergeCell ref="J1981:K1981"/>
    <mergeCell ref="L1981:P1981"/>
    <mergeCell ref="B1982:P1982"/>
    <mergeCell ref="B1978:P1979"/>
    <mergeCell ref="B1980:D1980"/>
    <mergeCell ref="E1980:F1980"/>
    <mergeCell ref="G1980:I1980"/>
    <mergeCell ref="J1980:L1980"/>
    <mergeCell ref="M1980:N1980"/>
    <mergeCell ref="O1980:P1980"/>
    <mergeCell ref="B1977:C1977"/>
    <mergeCell ref="D1977:E1977"/>
    <mergeCell ref="F1977:G1977"/>
    <mergeCell ref="H1977:J1977"/>
    <mergeCell ref="K1977:N1977"/>
    <mergeCell ref="O1977:P1977"/>
    <mergeCell ref="B1975:D1975"/>
    <mergeCell ref="E1975:H1975"/>
    <mergeCell ref="J1975:P1975"/>
    <mergeCell ref="B1976:D1976"/>
    <mergeCell ref="F1976:G1976"/>
    <mergeCell ref="I1976:J1976"/>
    <mergeCell ref="L1976:M1976"/>
    <mergeCell ref="O1976:P1976"/>
    <mergeCell ref="B1973:D1973"/>
    <mergeCell ref="E1973:J1973"/>
    <mergeCell ref="L1973:P1973"/>
    <mergeCell ref="B1974:D1974"/>
    <mergeCell ref="E1974:I1974"/>
    <mergeCell ref="K1974:L1974"/>
    <mergeCell ref="M1974:N1974"/>
    <mergeCell ref="O1974:P1974"/>
    <mergeCell ref="B1971:D1971"/>
    <mergeCell ref="E1971:G1971"/>
    <mergeCell ref="H1971:I1971"/>
    <mergeCell ref="K1971:M1971"/>
    <mergeCell ref="N1971:P1971"/>
    <mergeCell ref="B1972:D1972"/>
    <mergeCell ref="E1972:I1972"/>
    <mergeCell ref="J1972:K1972"/>
    <mergeCell ref="L1972:P1972"/>
    <mergeCell ref="B1969:P1969"/>
    <mergeCell ref="B1970:D1970"/>
    <mergeCell ref="E1970:G1970"/>
    <mergeCell ref="H1970:I1970"/>
    <mergeCell ref="J1970:L1970"/>
    <mergeCell ref="M1970:N1970"/>
    <mergeCell ref="O1970:P1970"/>
    <mergeCell ref="B1962:G1963"/>
    <mergeCell ref="I1963:P1963"/>
    <mergeCell ref="B1964:E1964"/>
    <mergeCell ref="F1964:L1968"/>
    <mergeCell ref="M1964:P1965"/>
    <mergeCell ref="B1965:E1965"/>
    <mergeCell ref="C1966:E1966"/>
    <mergeCell ref="C1967:E1967"/>
    <mergeCell ref="M1967:P1968"/>
    <mergeCell ref="C1968:E1968"/>
    <mergeCell ref="B1957:P1957"/>
    <mergeCell ref="B1958:B1959"/>
    <mergeCell ref="C1958:I1958"/>
    <mergeCell ref="K1958:M1958"/>
    <mergeCell ref="C1959:I1959"/>
    <mergeCell ref="J1959:P1959"/>
    <mergeCell ref="B1954:I1954"/>
    <mergeCell ref="K1954:P1954"/>
    <mergeCell ref="B1955:I1955"/>
    <mergeCell ref="K1955:P1955"/>
    <mergeCell ref="B1956:I1956"/>
    <mergeCell ref="K1956:P1956"/>
    <mergeCell ref="C1949:D1949"/>
    <mergeCell ref="E1949:F1949"/>
    <mergeCell ref="G1949:I1949"/>
    <mergeCell ref="J1949:K1949"/>
    <mergeCell ref="L1949:P1949"/>
    <mergeCell ref="B1950:I1951"/>
    <mergeCell ref="J1950:P1953"/>
    <mergeCell ref="B1952:I1953"/>
    <mergeCell ref="B1948:D1948"/>
    <mergeCell ref="E1948:F1948"/>
    <mergeCell ref="G1948:I1948"/>
    <mergeCell ref="J1948:L1948"/>
    <mergeCell ref="M1948:N1948"/>
    <mergeCell ref="O1948:P1948"/>
    <mergeCell ref="C1946:D1946"/>
    <mergeCell ref="E1946:F1946"/>
    <mergeCell ref="G1946:I1946"/>
    <mergeCell ref="J1946:K1946"/>
    <mergeCell ref="L1946:P1946"/>
    <mergeCell ref="B1947:P1947"/>
    <mergeCell ref="B1943:P1944"/>
    <mergeCell ref="B1945:D1945"/>
    <mergeCell ref="E1945:F1945"/>
    <mergeCell ref="G1945:I1945"/>
    <mergeCell ref="J1945:L1945"/>
    <mergeCell ref="M1945:N1945"/>
    <mergeCell ref="O1945:P1945"/>
    <mergeCell ref="B1942:C1942"/>
    <mergeCell ref="D1942:E1942"/>
    <mergeCell ref="F1942:G1942"/>
    <mergeCell ref="H1942:J1942"/>
    <mergeCell ref="K1942:N1942"/>
    <mergeCell ref="O1942:P1942"/>
    <mergeCell ref="B1940:D1940"/>
    <mergeCell ref="E1940:H1940"/>
    <mergeCell ref="J1940:P1940"/>
    <mergeCell ref="B1941:D1941"/>
    <mergeCell ref="F1941:G1941"/>
    <mergeCell ref="I1941:J1941"/>
    <mergeCell ref="L1941:M1941"/>
    <mergeCell ref="O1941:P1941"/>
    <mergeCell ref="B1938:D1938"/>
    <mergeCell ref="E1938:J1938"/>
    <mergeCell ref="L1938:P1938"/>
    <mergeCell ref="B1939:D1939"/>
    <mergeCell ref="E1939:I1939"/>
    <mergeCell ref="K1939:L1939"/>
    <mergeCell ref="M1939:N1939"/>
    <mergeCell ref="O1939:P1939"/>
    <mergeCell ref="B1936:D1936"/>
    <mergeCell ref="E1936:G1936"/>
    <mergeCell ref="H1936:I1936"/>
    <mergeCell ref="K1936:M1936"/>
    <mergeCell ref="N1936:P1936"/>
    <mergeCell ref="B1937:D1937"/>
    <mergeCell ref="E1937:I1937"/>
    <mergeCell ref="J1937:K1937"/>
    <mergeCell ref="L1937:P1937"/>
    <mergeCell ref="B1934:P1934"/>
    <mergeCell ref="B1935:D1935"/>
    <mergeCell ref="E1935:G1935"/>
    <mergeCell ref="H1935:I1935"/>
    <mergeCell ref="J1935:L1935"/>
    <mergeCell ref="M1935:N1935"/>
    <mergeCell ref="O1935:P1935"/>
    <mergeCell ref="B1927:G1928"/>
    <mergeCell ref="I1928:P1928"/>
    <mergeCell ref="B1929:E1929"/>
    <mergeCell ref="F1929:L1933"/>
    <mergeCell ref="M1929:P1930"/>
    <mergeCell ref="B1930:E1930"/>
    <mergeCell ref="C1931:E1931"/>
    <mergeCell ref="C1932:E1932"/>
    <mergeCell ref="M1932:P1933"/>
    <mergeCell ref="C1933:E1933"/>
    <mergeCell ref="B1922:P1922"/>
    <mergeCell ref="B1923:B1924"/>
    <mergeCell ref="C1923:I1923"/>
    <mergeCell ref="K1923:M1923"/>
    <mergeCell ref="C1924:I1924"/>
    <mergeCell ref="J1924:P1924"/>
    <mergeCell ref="B1919:I1919"/>
    <mergeCell ref="K1919:P1919"/>
    <mergeCell ref="B1920:I1920"/>
    <mergeCell ref="K1920:P1920"/>
    <mergeCell ref="B1921:I1921"/>
    <mergeCell ref="K1921:P1921"/>
    <mergeCell ref="C1914:D1914"/>
    <mergeCell ref="E1914:F1914"/>
    <mergeCell ref="G1914:I1914"/>
    <mergeCell ref="J1914:K1914"/>
    <mergeCell ref="L1914:P1914"/>
    <mergeCell ref="B1915:I1916"/>
    <mergeCell ref="J1915:P1918"/>
    <mergeCell ref="B1917:I1918"/>
    <mergeCell ref="B1913:D1913"/>
    <mergeCell ref="E1913:F1913"/>
    <mergeCell ref="G1913:I1913"/>
    <mergeCell ref="J1913:L1913"/>
    <mergeCell ref="M1913:N1913"/>
    <mergeCell ref="O1913:P1913"/>
    <mergeCell ref="C1911:D1911"/>
    <mergeCell ref="E1911:F1911"/>
    <mergeCell ref="G1911:I1911"/>
    <mergeCell ref="J1911:K1911"/>
    <mergeCell ref="L1911:P1911"/>
    <mergeCell ref="B1912:P1912"/>
    <mergeCell ref="B1908:P1909"/>
    <mergeCell ref="B1910:D1910"/>
    <mergeCell ref="E1910:F1910"/>
    <mergeCell ref="G1910:I1910"/>
    <mergeCell ref="J1910:L1910"/>
    <mergeCell ref="M1910:N1910"/>
    <mergeCell ref="O1910:P1910"/>
    <mergeCell ref="B1907:C1907"/>
    <mergeCell ref="D1907:E1907"/>
    <mergeCell ref="F1907:G1907"/>
    <mergeCell ref="H1907:J1907"/>
    <mergeCell ref="K1907:N1907"/>
    <mergeCell ref="O1907:P1907"/>
    <mergeCell ref="B1905:D1905"/>
    <mergeCell ref="E1905:H1905"/>
    <mergeCell ref="J1905:P1905"/>
    <mergeCell ref="B1906:D1906"/>
    <mergeCell ref="F1906:G1906"/>
    <mergeCell ref="I1906:J1906"/>
    <mergeCell ref="L1906:M1906"/>
    <mergeCell ref="O1906:P1906"/>
    <mergeCell ref="B1903:D1903"/>
    <mergeCell ref="E1903:J1903"/>
    <mergeCell ref="L1903:P1903"/>
    <mergeCell ref="B1904:D1904"/>
    <mergeCell ref="E1904:I1904"/>
    <mergeCell ref="K1904:L1904"/>
    <mergeCell ref="M1904:N1904"/>
    <mergeCell ref="O1904:P1904"/>
    <mergeCell ref="B1901:D1901"/>
    <mergeCell ref="E1901:G1901"/>
    <mergeCell ref="H1901:I1901"/>
    <mergeCell ref="K1901:M1901"/>
    <mergeCell ref="N1901:P1901"/>
    <mergeCell ref="B1902:D1902"/>
    <mergeCell ref="E1902:I1902"/>
    <mergeCell ref="J1902:K1902"/>
    <mergeCell ref="L1902:P1902"/>
    <mergeCell ref="B1899:P1899"/>
    <mergeCell ref="B1900:D1900"/>
    <mergeCell ref="E1900:G1900"/>
    <mergeCell ref="H1900:I1900"/>
    <mergeCell ref="J1900:L1900"/>
    <mergeCell ref="M1900:N1900"/>
    <mergeCell ref="O1900:P1900"/>
    <mergeCell ref="B1892:G1893"/>
    <mergeCell ref="I1893:P1893"/>
    <mergeCell ref="B1894:E1894"/>
    <mergeCell ref="F1894:L1898"/>
    <mergeCell ref="M1894:P1895"/>
    <mergeCell ref="B1895:E1895"/>
    <mergeCell ref="C1896:E1896"/>
    <mergeCell ref="C1897:E1897"/>
    <mergeCell ref="M1897:P1898"/>
    <mergeCell ref="C1898:E1898"/>
    <mergeCell ref="B1887:P1887"/>
    <mergeCell ref="B1888:B1889"/>
    <mergeCell ref="C1888:I1888"/>
    <mergeCell ref="K1888:M1888"/>
    <mergeCell ref="C1889:I1889"/>
    <mergeCell ref="J1889:P1889"/>
    <mergeCell ref="B1884:I1884"/>
    <mergeCell ref="K1884:P1884"/>
    <mergeCell ref="B1885:I1885"/>
    <mergeCell ref="K1885:P1885"/>
    <mergeCell ref="B1886:I1886"/>
    <mergeCell ref="K1886:P1886"/>
    <mergeCell ref="C1879:D1879"/>
    <mergeCell ref="E1879:F1879"/>
    <mergeCell ref="G1879:I1879"/>
    <mergeCell ref="J1879:K1879"/>
    <mergeCell ref="L1879:P1879"/>
    <mergeCell ref="B1880:I1881"/>
    <mergeCell ref="J1880:P1883"/>
    <mergeCell ref="B1882:I1883"/>
    <mergeCell ref="B1878:D1878"/>
    <mergeCell ref="E1878:F1878"/>
    <mergeCell ref="G1878:I1878"/>
    <mergeCell ref="J1878:L1878"/>
    <mergeCell ref="M1878:N1878"/>
    <mergeCell ref="O1878:P1878"/>
    <mergeCell ref="C1876:D1876"/>
    <mergeCell ref="E1876:F1876"/>
    <mergeCell ref="G1876:I1876"/>
    <mergeCell ref="J1876:K1876"/>
    <mergeCell ref="L1876:P1876"/>
    <mergeCell ref="B1877:P1877"/>
    <mergeCell ref="B1873:P1874"/>
    <mergeCell ref="B1875:D1875"/>
    <mergeCell ref="E1875:F1875"/>
    <mergeCell ref="G1875:I1875"/>
    <mergeCell ref="J1875:L1875"/>
    <mergeCell ref="M1875:N1875"/>
    <mergeCell ref="O1875:P1875"/>
    <mergeCell ref="B1872:C1872"/>
    <mergeCell ref="D1872:E1872"/>
    <mergeCell ref="F1872:G1872"/>
    <mergeCell ref="H1872:J1872"/>
    <mergeCell ref="K1872:N1872"/>
    <mergeCell ref="O1872:P1872"/>
    <mergeCell ref="B1870:D1870"/>
    <mergeCell ref="E1870:H1870"/>
    <mergeCell ref="J1870:P1870"/>
    <mergeCell ref="B1871:D1871"/>
    <mergeCell ref="F1871:G1871"/>
    <mergeCell ref="I1871:J1871"/>
    <mergeCell ref="L1871:M1871"/>
    <mergeCell ref="O1871:P1871"/>
    <mergeCell ref="B1868:D1868"/>
    <mergeCell ref="E1868:J1868"/>
    <mergeCell ref="L1868:P1868"/>
    <mergeCell ref="B1869:D1869"/>
    <mergeCell ref="E1869:I1869"/>
    <mergeCell ref="K1869:L1869"/>
    <mergeCell ref="M1869:N1869"/>
    <mergeCell ref="O1869:P1869"/>
    <mergeCell ref="B1866:D1866"/>
    <mergeCell ref="E1866:G1866"/>
    <mergeCell ref="H1866:I1866"/>
    <mergeCell ref="K1866:M1866"/>
    <mergeCell ref="N1866:P1866"/>
    <mergeCell ref="B1867:D1867"/>
    <mergeCell ref="E1867:I1867"/>
    <mergeCell ref="J1867:K1867"/>
    <mergeCell ref="L1867:P1867"/>
    <mergeCell ref="B1864:P1864"/>
    <mergeCell ref="B1865:D1865"/>
    <mergeCell ref="E1865:G1865"/>
    <mergeCell ref="H1865:I1865"/>
    <mergeCell ref="J1865:L1865"/>
    <mergeCell ref="M1865:N1865"/>
    <mergeCell ref="O1865:P1865"/>
    <mergeCell ref="B1857:G1858"/>
    <mergeCell ref="I1858:P1858"/>
    <mergeCell ref="B1859:E1859"/>
    <mergeCell ref="F1859:L1863"/>
    <mergeCell ref="M1859:P1860"/>
    <mergeCell ref="B1860:E1860"/>
    <mergeCell ref="C1861:E1861"/>
    <mergeCell ref="C1862:E1862"/>
    <mergeCell ref="M1862:P1863"/>
    <mergeCell ref="C1863:E1863"/>
    <mergeCell ref="B1852:P1852"/>
    <mergeCell ref="B1853:B1854"/>
    <mergeCell ref="C1853:I1853"/>
    <mergeCell ref="K1853:M1853"/>
    <mergeCell ref="C1854:I1854"/>
    <mergeCell ref="J1854:P1854"/>
    <mergeCell ref="B1849:I1849"/>
    <mergeCell ref="K1849:P1849"/>
    <mergeCell ref="B1850:I1850"/>
    <mergeCell ref="K1850:P1850"/>
    <mergeCell ref="B1851:I1851"/>
    <mergeCell ref="K1851:P1851"/>
    <mergeCell ref="C1844:D1844"/>
    <mergeCell ref="E1844:F1844"/>
    <mergeCell ref="G1844:I1844"/>
    <mergeCell ref="J1844:K1844"/>
    <mergeCell ref="L1844:P1844"/>
    <mergeCell ref="B1845:I1846"/>
    <mergeCell ref="J1845:P1848"/>
    <mergeCell ref="B1847:I1848"/>
    <mergeCell ref="B1843:D1843"/>
    <mergeCell ref="E1843:F1843"/>
    <mergeCell ref="G1843:I1843"/>
    <mergeCell ref="J1843:L1843"/>
    <mergeCell ref="M1843:N1843"/>
    <mergeCell ref="O1843:P1843"/>
    <mergeCell ref="C1841:D1841"/>
    <mergeCell ref="E1841:F1841"/>
    <mergeCell ref="G1841:I1841"/>
    <mergeCell ref="J1841:K1841"/>
    <mergeCell ref="L1841:P1841"/>
    <mergeCell ref="B1842:P1842"/>
    <mergeCell ref="B1838:P1839"/>
    <mergeCell ref="B1840:D1840"/>
    <mergeCell ref="E1840:F1840"/>
    <mergeCell ref="G1840:I1840"/>
    <mergeCell ref="J1840:L1840"/>
    <mergeCell ref="M1840:N1840"/>
    <mergeCell ref="O1840:P1840"/>
    <mergeCell ref="B1837:C1837"/>
    <mergeCell ref="D1837:E1837"/>
    <mergeCell ref="F1837:G1837"/>
    <mergeCell ref="H1837:J1837"/>
    <mergeCell ref="K1837:N1837"/>
    <mergeCell ref="O1837:P1837"/>
    <mergeCell ref="B1835:D1835"/>
    <mergeCell ref="E1835:H1835"/>
    <mergeCell ref="J1835:P1835"/>
    <mergeCell ref="B1836:D1836"/>
    <mergeCell ref="F1836:G1836"/>
    <mergeCell ref="I1836:J1836"/>
    <mergeCell ref="L1836:M1836"/>
    <mergeCell ref="O1836:P1836"/>
    <mergeCell ref="B1833:D1833"/>
    <mergeCell ref="E1833:J1833"/>
    <mergeCell ref="L1833:P1833"/>
    <mergeCell ref="B1834:D1834"/>
    <mergeCell ref="E1834:I1834"/>
    <mergeCell ref="K1834:L1834"/>
    <mergeCell ref="M1834:N1834"/>
    <mergeCell ref="O1834:P1834"/>
    <mergeCell ref="B1831:D1831"/>
    <mergeCell ref="E1831:G1831"/>
    <mergeCell ref="H1831:I1831"/>
    <mergeCell ref="K1831:M1831"/>
    <mergeCell ref="N1831:P1831"/>
    <mergeCell ref="B1832:D1832"/>
    <mergeCell ref="E1832:I1832"/>
    <mergeCell ref="J1832:K1832"/>
    <mergeCell ref="L1832:P1832"/>
    <mergeCell ref="B1829:P1829"/>
    <mergeCell ref="B1830:D1830"/>
    <mergeCell ref="E1830:G1830"/>
    <mergeCell ref="H1830:I1830"/>
    <mergeCell ref="J1830:L1830"/>
    <mergeCell ref="M1830:N1830"/>
    <mergeCell ref="O1830:P1830"/>
    <mergeCell ref="B1822:G1823"/>
    <mergeCell ref="I1823:P1823"/>
    <mergeCell ref="B1824:E1824"/>
    <mergeCell ref="F1824:L1828"/>
    <mergeCell ref="M1824:P1825"/>
    <mergeCell ref="B1825:E1825"/>
    <mergeCell ref="C1826:E1826"/>
    <mergeCell ref="C1827:E1827"/>
    <mergeCell ref="M1827:P1828"/>
    <mergeCell ref="C1828:E1828"/>
    <mergeCell ref="B1817:P1817"/>
    <mergeCell ref="B1818:B1819"/>
    <mergeCell ref="C1818:I1818"/>
    <mergeCell ref="K1818:M1818"/>
    <mergeCell ref="C1819:I1819"/>
    <mergeCell ref="J1819:P1819"/>
    <mergeCell ref="B1814:I1814"/>
    <mergeCell ref="K1814:P1814"/>
    <mergeCell ref="B1815:I1815"/>
    <mergeCell ref="K1815:P1815"/>
    <mergeCell ref="B1816:I1816"/>
    <mergeCell ref="K1816:P1816"/>
    <mergeCell ref="C1809:D1809"/>
    <mergeCell ref="E1809:F1809"/>
    <mergeCell ref="G1809:I1809"/>
    <mergeCell ref="J1809:K1809"/>
    <mergeCell ref="L1809:P1809"/>
    <mergeCell ref="B1810:I1811"/>
    <mergeCell ref="J1810:P1813"/>
    <mergeCell ref="B1812:I1813"/>
    <mergeCell ref="B1808:D1808"/>
    <mergeCell ref="E1808:F1808"/>
    <mergeCell ref="G1808:I1808"/>
    <mergeCell ref="J1808:L1808"/>
    <mergeCell ref="M1808:N1808"/>
    <mergeCell ref="O1808:P1808"/>
    <mergeCell ref="C1806:D1806"/>
    <mergeCell ref="E1806:F1806"/>
    <mergeCell ref="G1806:I1806"/>
    <mergeCell ref="J1806:K1806"/>
    <mergeCell ref="L1806:P1806"/>
    <mergeCell ref="B1807:P1807"/>
    <mergeCell ref="B1803:P1804"/>
    <mergeCell ref="B1805:D1805"/>
    <mergeCell ref="E1805:F1805"/>
    <mergeCell ref="G1805:I1805"/>
    <mergeCell ref="J1805:L1805"/>
    <mergeCell ref="M1805:N1805"/>
    <mergeCell ref="O1805:P1805"/>
    <mergeCell ref="B1802:C1802"/>
    <mergeCell ref="D1802:E1802"/>
    <mergeCell ref="F1802:G1802"/>
    <mergeCell ref="H1802:J1802"/>
    <mergeCell ref="K1802:N1802"/>
    <mergeCell ref="O1802:P1802"/>
    <mergeCell ref="B1800:D1800"/>
    <mergeCell ref="E1800:H1800"/>
    <mergeCell ref="J1800:P1800"/>
    <mergeCell ref="B1801:D1801"/>
    <mergeCell ref="F1801:G1801"/>
    <mergeCell ref="I1801:J1801"/>
    <mergeCell ref="L1801:M1801"/>
    <mergeCell ref="O1801:P1801"/>
    <mergeCell ref="B1798:D1798"/>
    <mergeCell ref="E1798:J1798"/>
    <mergeCell ref="L1798:P1798"/>
    <mergeCell ref="B1799:D1799"/>
    <mergeCell ref="E1799:I1799"/>
    <mergeCell ref="K1799:L1799"/>
    <mergeCell ref="M1799:N1799"/>
    <mergeCell ref="O1799:P1799"/>
    <mergeCell ref="B1796:D1796"/>
    <mergeCell ref="E1796:G1796"/>
    <mergeCell ref="H1796:I1796"/>
    <mergeCell ref="K1796:M1796"/>
    <mergeCell ref="N1796:P1796"/>
    <mergeCell ref="B1797:D1797"/>
    <mergeCell ref="E1797:I1797"/>
    <mergeCell ref="J1797:K1797"/>
    <mergeCell ref="L1797:P1797"/>
    <mergeCell ref="B1794:P1794"/>
    <mergeCell ref="B1795:D1795"/>
    <mergeCell ref="E1795:G1795"/>
    <mergeCell ref="H1795:I1795"/>
    <mergeCell ref="J1795:L1795"/>
    <mergeCell ref="M1795:N1795"/>
    <mergeCell ref="O1795:P1795"/>
    <mergeCell ref="B1787:G1788"/>
    <mergeCell ref="I1788:P1788"/>
    <mergeCell ref="B1789:E1789"/>
    <mergeCell ref="F1789:L1793"/>
    <mergeCell ref="M1789:P1790"/>
    <mergeCell ref="B1790:E1790"/>
    <mergeCell ref="C1791:E1791"/>
    <mergeCell ref="C1792:E1792"/>
    <mergeCell ref="M1792:P1793"/>
    <mergeCell ref="C1793:E1793"/>
    <mergeCell ref="B1782:P1782"/>
    <mergeCell ref="B1783:B1784"/>
    <mergeCell ref="C1783:I1783"/>
    <mergeCell ref="K1783:M1783"/>
    <mergeCell ref="C1784:I1784"/>
    <mergeCell ref="J1784:P1784"/>
    <mergeCell ref="B1779:I1779"/>
    <mergeCell ref="K1779:P1779"/>
    <mergeCell ref="B1780:I1780"/>
    <mergeCell ref="K1780:P1780"/>
    <mergeCell ref="B1781:I1781"/>
    <mergeCell ref="K1781:P1781"/>
    <mergeCell ref="C1774:D1774"/>
    <mergeCell ref="E1774:F1774"/>
    <mergeCell ref="G1774:I1774"/>
    <mergeCell ref="J1774:K1774"/>
    <mergeCell ref="L1774:P1774"/>
    <mergeCell ref="B1775:I1776"/>
    <mergeCell ref="J1775:P1778"/>
    <mergeCell ref="B1777:I1778"/>
    <mergeCell ref="B1773:D1773"/>
    <mergeCell ref="E1773:F1773"/>
    <mergeCell ref="G1773:I1773"/>
    <mergeCell ref="J1773:L1773"/>
    <mergeCell ref="M1773:N1773"/>
    <mergeCell ref="O1773:P1773"/>
    <mergeCell ref="C1771:D1771"/>
    <mergeCell ref="E1771:F1771"/>
    <mergeCell ref="G1771:I1771"/>
    <mergeCell ref="J1771:K1771"/>
    <mergeCell ref="L1771:P1771"/>
    <mergeCell ref="B1772:P1772"/>
    <mergeCell ref="B1768:P1769"/>
    <mergeCell ref="B1770:D1770"/>
    <mergeCell ref="E1770:F1770"/>
    <mergeCell ref="G1770:I1770"/>
    <mergeCell ref="J1770:L1770"/>
    <mergeCell ref="M1770:N1770"/>
    <mergeCell ref="O1770:P1770"/>
    <mergeCell ref="B1767:C1767"/>
    <mergeCell ref="D1767:E1767"/>
    <mergeCell ref="F1767:G1767"/>
    <mergeCell ref="H1767:J1767"/>
    <mergeCell ref="K1767:N1767"/>
    <mergeCell ref="O1767:P1767"/>
    <mergeCell ref="B1765:D1765"/>
    <mergeCell ref="E1765:H1765"/>
    <mergeCell ref="J1765:P1765"/>
    <mergeCell ref="B1766:D1766"/>
    <mergeCell ref="F1766:G1766"/>
    <mergeCell ref="I1766:J1766"/>
    <mergeCell ref="L1766:M1766"/>
    <mergeCell ref="O1766:P1766"/>
    <mergeCell ref="B1763:D1763"/>
    <mergeCell ref="E1763:J1763"/>
    <mergeCell ref="L1763:P1763"/>
    <mergeCell ref="B1764:D1764"/>
    <mergeCell ref="E1764:I1764"/>
    <mergeCell ref="K1764:L1764"/>
    <mergeCell ref="M1764:N1764"/>
    <mergeCell ref="O1764:P1764"/>
    <mergeCell ref="B1761:D1761"/>
    <mergeCell ref="E1761:G1761"/>
    <mergeCell ref="H1761:I1761"/>
    <mergeCell ref="K1761:M1761"/>
    <mergeCell ref="N1761:P1761"/>
    <mergeCell ref="B1762:D1762"/>
    <mergeCell ref="E1762:I1762"/>
    <mergeCell ref="J1762:K1762"/>
    <mergeCell ref="L1762:P1762"/>
    <mergeCell ref="B1759:P1759"/>
    <mergeCell ref="B1760:D1760"/>
    <mergeCell ref="E1760:G1760"/>
    <mergeCell ref="H1760:I1760"/>
    <mergeCell ref="J1760:L1760"/>
    <mergeCell ref="M1760:N1760"/>
    <mergeCell ref="O1760:P1760"/>
    <mergeCell ref="B1752:G1753"/>
    <mergeCell ref="I1753:P1753"/>
    <mergeCell ref="B1754:E1754"/>
    <mergeCell ref="F1754:L1758"/>
    <mergeCell ref="M1754:P1755"/>
    <mergeCell ref="B1755:E1755"/>
    <mergeCell ref="C1756:E1756"/>
    <mergeCell ref="C1757:E1757"/>
    <mergeCell ref="M1757:P1758"/>
    <mergeCell ref="C1758:E1758"/>
    <mergeCell ref="B1747:P1747"/>
    <mergeCell ref="B1748:B1749"/>
    <mergeCell ref="C1748:I1748"/>
    <mergeCell ref="K1748:M1748"/>
    <mergeCell ref="C1749:I1749"/>
    <mergeCell ref="J1749:P1749"/>
    <mergeCell ref="B1744:I1744"/>
    <mergeCell ref="K1744:P1744"/>
    <mergeCell ref="B1745:I1745"/>
    <mergeCell ref="K1745:P1745"/>
    <mergeCell ref="B1746:I1746"/>
    <mergeCell ref="K1746:P1746"/>
    <mergeCell ref="C1739:D1739"/>
    <mergeCell ref="E1739:F1739"/>
    <mergeCell ref="G1739:I1739"/>
    <mergeCell ref="J1739:K1739"/>
    <mergeCell ref="L1739:P1739"/>
    <mergeCell ref="B1740:I1741"/>
    <mergeCell ref="J1740:P1743"/>
    <mergeCell ref="B1742:I1743"/>
    <mergeCell ref="B1738:D1738"/>
    <mergeCell ref="E1738:F1738"/>
    <mergeCell ref="G1738:I1738"/>
    <mergeCell ref="J1738:L1738"/>
    <mergeCell ref="M1738:N1738"/>
    <mergeCell ref="O1738:P1738"/>
    <mergeCell ref="C1736:D1736"/>
    <mergeCell ref="E1736:F1736"/>
    <mergeCell ref="G1736:I1736"/>
    <mergeCell ref="J1736:K1736"/>
    <mergeCell ref="L1736:P1736"/>
    <mergeCell ref="B1737:P1737"/>
    <mergeCell ref="B1733:P1734"/>
    <mergeCell ref="B1735:D1735"/>
    <mergeCell ref="E1735:F1735"/>
    <mergeCell ref="G1735:I1735"/>
    <mergeCell ref="J1735:L1735"/>
    <mergeCell ref="M1735:N1735"/>
    <mergeCell ref="O1735:P1735"/>
    <mergeCell ref="B1732:C1732"/>
    <mergeCell ref="D1732:E1732"/>
    <mergeCell ref="F1732:G1732"/>
    <mergeCell ref="H1732:J1732"/>
    <mergeCell ref="K1732:N1732"/>
    <mergeCell ref="O1732:P1732"/>
    <mergeCell ref="B1730:D1730"/>
    <mergeCell ref="E1730:H1730"/>
    <mergeCell ref="J1730:P1730"/>
    <mergeCell ref="B1731:D1731"/>
    <mergeCell ref="F1731:G1731"/>
    <mergeCell ref="I1731:J1731"/>
    <mergeCell ref="L1731:M1731"/>
    <mergeCell ref="O1731:P1731"/>
    <mergeCell ref="B1728:D1728"/>
    <mergeCell ref="E1728:J1728"/>
    <mergeCell ref="L1728:P1728"/>
    <mergeCell ref="B1729:D1729"/>
    <mergeCell ref="E1729:I1729"/>
    <mergeCell ref="K1729:L1729"/>
    <mergeCell ref="M1729:N1729"/>
    <mergeCell ref="O1729:P1729"/>
    <mergeCell ref="B1726:D1726"/>
    <mergeCell ref="E1726:G1726"/>
    <mergeCell ref="H1726:I1726"/>
    <mergeCell ref="K1726:M1726"/>
    <mergeCell ref="N1726:P1726"/>
    <mergeCell ref="B1727:D1727"/>
    <mergeCell ref="E1727:I1727"/>
    <mergeCell ref="J1727:K1727"/>
    <mergeCell ref="L1727:P1727"/>
    <mergeCell ref="B1724:P1724"/>
    <mergeCell ref="B1725:D1725"/>
    <mergeCell ref="E1725:G1725"/>
    <mergeCell ref="H1725:I1725"/>
    <mergeCell ref="J1725:L1725"/>
    <mergeCell ref="M1725:N1725"/>
    <mergeCell ref="O1725:P1725"/>
    <mergeCell ref="B1717:G1718"/>
    <mergeCell ref="I1718:P1718"/>
    <mergeCell ref="B1719:E1719"/>
    <mergeCell ref="F1719:L1723"/>
    <mergeCell ref="M1719:P1720"/>
    <mergeCell ref="B1720:E1720"/>
    <mergeCell ref="C1721:E1721"/>
    <mergeCell ref="C1722:E1722"/>
    <mergeCell ref="M1722:P1723"/>
    <mergeCell ref="C1723:E1723"/>
    <mergeCell ref="B1712:P1712"/>
    <mergeCell ref="B1713:B1714"/>
    <mergeCell ref="C1713:I1713"/>
    <mergeCell ref="K1713:M1713"/>
    <mergeCell ref="C1714:I1714"/>
    <mergeCell ref="J1714:P1714"/>
    <mergeCell ref="B1709:I1709"/>
    <mergeCell ref="K1709:P1709"/>
    <mergeCell ref="B1710:I1710"/>
    <mergeCell ref="K1710:P1710"/>
    <mergeCell ref="B1711:I1711"/>
    <mergeCell ref="K1711:P1711"/>
    <mergeCell ref="C1704:D1704"/>
    <mergeCell ref="E1704:F1704"/>
    <mergeCell ref="G1704:I1704"/>
    <mergeCell ref="J1704:K1704"/>
    <mergeCell ref="L1704:P1704"/>
    <mergeCell ref="B1705:I1706"/>
    <mergeCell ref="J1705:P1708"/>
    <mergeCell ref="B1707:I1708"/>
    <mergeCell ref="B1703:D1703"/>
    <mergeCell ref="E1703:F1703"/>
    <mergeCell ref="G1703:I1703"/>
    <mergeCell ref="J1703:L1703"/>
    <mergeCell ref="M1703:N1703"/>
    <mergeCell ref="O1703:P1703"/>
    <mergeCell ref="C1701:D1701"/>
    <mergeCell ref="E1701:F1701"/>
    <mergeCell ref="G1701:I1701"/>
    <mergeCell ref="J1701:K1701"/>
    <mergeCell ref="L1701:P1701"/>
    <mergeCell ref="B1702:P1702"/>
    <mergeCell ref="B1698:P1699"/>
    <mergeCell ref="B1700:D1700"/>
    <mergeCell ref="E1700:F1700"/>
    <mergeCell ref="G1700:I1700"/>
    <mergeCell ref="J1700:L1700"/>
    <mergeCell ref="M1700:N1700"/>
    <mergeCell ref="O1700:P1700"/>
    <mergeCell ref="B1697:C1697"/>
    <mergeCell ref="D1697:E1697"/>
    <mergeCell ref="F1697:G1697"/>
    <mergeCell ref="H1697:J1697"/>
    <mergeCell ref="K1697:N1697"/>
    <mergeCell ref="O1697:P1697"/>
    <mergeCell ref="B1695:D1695"/>
    <mergeCell ref="E1695:H1695"/>
    <mergeCell ref="J1695:P1695"/>
    <mergeCell ref="B1696:D1696"/>
    <mergeCell ref="F1696:G1696"/>
    <mergeCell ref="I1696:J1696"/>
    <mergeCell ref="L1696:M1696"/>
    <mergeCell ref="O1696:P1696"/>
    <mergeCell ref="B1693:D1693"/>
    <mergeCell ref="E1693:J1693"/>
    <mergeCell ref="L1693:P1693"/>
    <mergeCell ref="B1694:D1694"/>
    <mergeCell ref="E1694:I1694"/>
    <mergeCell ref="K1694:L1694"/>
    <mergeCell ref="M1694:N1694"/>
    <mergeCell ref="O1694:P1694"/>
    <mergeCell ref="B1691:D1691"/>
    <mergeCell ref="E1691:G1691"/>
    <mergeCell ref="H1691:I1691"/>
    <mergeCell ref="K1691:M1691"/>
    <mergeCell ref="N1691:P1691"/>
    <mergeCell ref="B1692:D1692"/>
    <mergeCell ref="E1692:I1692"/>
    <mergeCell ref="J1692:K1692"/>
    <mergeCell ref="L1692:P1692"/>
    <mergeCell ref="B1689:P1689"/>
    <mergeCell ref="B1690:D1690"/>
    <mergeCell ref="E1690:G1690"/>
    <mergeCell ref="H1690:I1690"/>
    <mergeCell ref="J1690:L1690"/>
    <mergeCell ref="M1690:N1690"/>
    <mergeCell ref="O1690:P1690"/>
    <mergeCell ref="B1682:G1683"/>
    <mergeCell ref="I1683:P1683"/>
    <mergeCell ref="B1684:E1684"/>
    <mergeCell ref="F1684:L1688"/>
    <mergeCell ref="M1684:P1685"/>
    <mergeCell ref="B1685:E1685"/>
    <mergeCell ref="C1686:E1686"/>
    <mergeCell ref="C1687:E1687"/>
    <mergeCell ref="M1687:P1688"/>
    <mergeCell ref="C1688:E1688"/>
    <mergeCell ref="B1677:P1677"/>
    <mergeCell ref="B1678:B1679"/>
    <mergeCell ref="C1678:I1678"/>
    <mergeCell ref="K1678:M1678"/>
    <mergeCell ref="C1679:I1679"/>
    <mergeCell ref="J1679:P1679"/>
    <mergeCell ref="B1674:I1674"/>
    <mergeCell ref="K1674:P1674"/>
    <mergeCell ref="B1675:I1675"/>
    <mergeCell ref="K1675:P1675"/>
    <mergeCell ref="B1676:I1676"/>
    <mergeCell ref="K1676:P1676"/>
    <mergeCell ref="C1669:D1669"/>
    <mergeCell ref="E1669:F1669"/>
    <mergeCell ref="G1669:I1669"/>
    <mergeCell ref="J1669:K1669"/>
    <mergeCell ref="L1669:P1669"/>
    <mergeCell ref="B1670:I1671"/>
    <mergeCell ref="J1670:P1673"/>
    <mergeCell ref="B1672:I1673"/>
    <mergeCell ref="B1668:D1668"/>
    <mergeCell ref="E1668:F1668"/>
    <mergeCell ref="G1668:I1668"/>
    <mergeCell ref="J1668:L1668"/>
    <mergeCell ref="M1668:N1668"/>
    <mergeCell ref="O1668:P1668"/>
    <mergeCell ref="C1666:D1666"/>
    <mergeCell ref="E1666:F1666"/>
    <mergeCell ref="G1666:I1666"/>
    <mergeCell ref="J1666:K1666"/>
    <mergeCell ref="L1666:P1666"/>
    <mergeCell ref="B1667:P1667"/>
    <mergeCell ref="B1663:P1664"/>
    <mergeCell ref="B1665:D1665"/>
    <mergeCell ref="E1665:F1665"/>
    <mergeCell ref="G1665:I1665"/>
    <mergeCell ref="J1665:L1665"/>
    <mergeCell ref="M1665:N1665"/>
    <mergeCell ref="O1665:P1665"/>
    <mergeCell ref="B1662:C1662"/>
    <mergeCell ref="D1662:E1662"/>
    <mergeCell ref="F1662:G1662"/>
    <mergeCell ref="H1662:J1662"/>
    <mergeCell ref="K1662:N1662"/>
    <mergeCell ref="O1662:P1662"/>
    <mergeCell ref="B1660:D1660"/>
    <mergeCell ref="E1660:H1660"/>
    <mergeCell ref="J1660:P1660"/>
    <mergeCell ref="B1661:D1661"/>
    <mergeCell ref="F1661:G1661"/>
    <mergeCell ref="I1661:J1661"/>
    <mergeCell ref="L1661:M1661"/>
    <mergeCell ref="O1661:P1661"/>
    <mergeCell ref="B1658:D1658"/>
    <mergeCell ref="E1658:J1658"/>
    <mergeCell ref="L1658:P1658"/>
    <mergeCell ref="B1659:D1659"/>
    <mergeCell ref="E1659:I1659"/>
    <mergeCell ref="K1659:L1659"/>
    <mergeCell ref="M1659:N1659"/>
    <mergeCell ref="O1659:P1659"/>
    <mergeCell ref="B1656:D1656"/>
    <mergeCell ref="E1656:G1656"/>
    <mergeCell ref="H1656:I1656"/>
    <mergeCell ref="K1656:M1656"/>
    <mergeCell ref="N1656:P1656"/>
    <mergeCell ref="B1657:D1657"/>
    <mergeCell ref="E1657:I1657"/>
    <mergeCell ref="J1657:K1657"/>
    <mergeCell ref="L1657:P1657"/>
    <mergeCell ref="B1654:P1654"/>
    <mergeCell ref="B1655:D1655"/>
    <mergeCell ref="E1655:G1655"/>
    <mergeCell ref="H1655:I1655"/>
    <mergeCell ref="J1655:L1655"/>
    <mergeCell ref="M1655:N1655"/>
    <mergeCell ref="O1655:P1655"/>
    <mergeCell ref="B1647:G1648"/>
    <mergeCell ref="I1648:P1648"/>
    <mergeCell ref="B1649:E1649"/>
    <mergeCell ref="F1649:L1653"/>
    <mergeCell ref="M1649:P1650"/>
    <mergeCell ref="B1650:E1650"/>
    <mergeCell ref="C1651:E1651"/>
    <mergeCell ref="C1652:E1652"/>
    <mergeCell ref="M1652:P1653"/>
    <mergeCell ref="C1653:E1653"/>
    <mergeCell ref="B1642:P1642"/>
    <mergeCell ref="B1643:B1644"/>
    <mergeCell ref="C1643:I1643"/>
    <mergeCell ref="K1643:M1643"/>
    <mergeCell ref="C1644:I1644"/>
    <mergeCell ref="J1644:P1644"/>
    <mergeCell ref="B1639:I1639"/>
    <mergeCell ref="K1639:P1639"/>
    <mergeCell ref="B1640:I1640"/>
    <mergeCell ref="K1640:P1640"/>
    <mergeCell ref="B1641:I1641"/>
    <mergeCell ref="K1641:P1641"/>
    <mergeCell ref="C1634:D1634"/>
    <mergeCell ref="E1634:F1634"/>
    <mergeCell ref="G1634:I1634"/>
    <mergeCell ref="J1634:K1634"/>
    <mergeCell ref="L1634:P1634"/>
    <mergeCell ref="B1635:I1636"/>
    <mergeCell ref="J1635:P1638"/>
    <mergeCell ref="B1637:I1638"/>
    <mergeCell ref="B1633:D1633"/>
    <mergeCell ref="E1633:F1633"/>
    <mergeCell ref="G1633:I1633"/>
    <mergeCell ref="J1633:L1633"/>
    <mergeCell ref="M1633:N1633"/>
    <mergeCell ref="O1633:P1633"/>
    <mergeCell ref="C1631:D1631"/>
    <mergeCell ref="E1631:F1631"/>
    <mergeCell ref="G1631:I1631"/>
    <mergeCell ref="J1631:K1631"/>
    <mergeCell ref="L1631:P1631"/>
    <mergeCell ref="B1632:P1632"/>
    <mergeCell ref="B1628:P1629"/>
    <mergeCell ref="B1630:D1630"/>
    <mergeCell ref="E1630:F1630"/>
    <mergeCell ref="G1630:I1630"/>
    <mergeCell ref="J1630:L1630"/>
    <mergeCell ref="M1630:N1630"/>
    <mergeCell ref="O1630:P1630"/>
    <mergeCell ref="B1627:C1627"/>
    <mergeCell ref="D1627:E1627"/>
    <mergeCell ref="F1627:G1627"/>
    <mergeCell ref="H1627:J1627"/>
    <mergeCell ref="K1627:N1627"/>
    <mergeCell ref="O1627:P1627"/>
    <mergeCell ref="B1625:D1625"/>
    <mergeCell ref="E1625:H1625"/>
    <mergeCell ref="J1625:P1625"/>
    <mergeCell ref="B1626:D1626"/>
    <mergeCell ref="F1626:G1626"/>
    <mergeCell ref="I1626:J1626"/>
    <mergeCell ref="L1626:M1626"/>
    <mergeCell ref="O1626:P1626"/>
    <mergeCell ref="B1623:D1623"/>
    <mergeCell ref="E1623:J1623"/>
    <mergeCell ref="L1623:P1623"/>
    <mergeCell ref="B1624:D1624"/>
    <mergeCell ref="E1624:I1624"/>
    <mergeCell ref="K1624:L1624"/>
    <mergeCell ref="M1624:N1624"/>
    <mergeCell ref="O1624:P1624"/>
    <mergeCell ref="B1621:D1621"/>
    <mergeCell ref="E1621:G1621"/>
    <mergeCell ref="H1621:I1621"/>
    <mergeCell ref="K1621:M1621"/>
    <mergeCell ref="N1621:P1621"/>
    <mergeCell ref="B1622:D1622"/>
    <mergeCell ref="E1622:I1622"/>
    <mergeCell ref="J1622:K1622"/>
    <mergeCell ref="L1622:P1622"/>
    <mergeCell ref="B1619:P1619"/>
    <mergeCell ref="B1620:D1620"/>
    <mergeCell ref="E1620:G1620"/>
    <mergeCell ref="H1620:I1620"/>
    <mergeCell ref="J1620:L1620"/>
    <mergeCell ref="M1620:N1620"/>
    <mergeCell ref="O1620:P1620"/>
    <mergeCell ref="B1612:G1613"/>
    <mergeCell ref="I1613:P1613"/>
    <mergeCell ref="B1614:E1614"/>
    <mergeCell ref="F1614:L1618"/>
    <mergeCell ref="M1614:P1615"/>
    <mergeCell ref="B1615:E1615"/>
    <mergeCell ref="C1616:E1616"/>
    <mergeCell ref="C1617:E1617"/>
    <mergeCell ref="M1617:P1618"/>
    <mergeCell ref="C1618:E1618"/>
    <mergeCell ref="B1607:P1607"/>
    <mergeCell ref="B1608:B1609"/>
    <mergeCell ref="C1608:I1608"/>
    <mergeCell ref="K1608:M1608"/>
    <mergeCell ref="C1609:I1609"/>
    <mergeCell ref="J1609:P1609"/>
    <mergeCell ref="B1604:I1604"/>
    <mergeCell ref="K1604:P1604"/>
    <mergeCell ref="B1605:I1605"/>
    <mergeCell ref="K1605:P1605"/>
    <mergeCell ref="B1606:I1606"/>
    <mergeCell ref="K1606:P1606"/>
    <mergeCell ref="C1599:D1599"/>
    <mergeCell ref="E1599:F1599"/>
    <mergeCell ref="G1599:I1599"/>
    <mergeCell ref="J1599:K1599"/>
    <mergeCell ref="L1599:P1599"/>
    <mergeCell ref="B1600:I1601"/>
    <mergeCell ref="J1600:P1603"/>
    <mergeCell ref="B1602:I1603"/>
    <mergeCell ref="B1598:D1598"/>
    <mergeCell ref="E1598:F1598"/>
    <mergeCell ref="G1598:I1598"/>
    <mergeCell ref="J1598:L1598"/>
    <mergeCell ref="M1598:N1598"/>
    <mergeCell ref="O1598:P1598"/>
    <mergeCell ref="C1596:D1596"/>
    <mergeCell ref="E1596:F1596"/>
    <mergeCell ref="G1596:I1596"/>
    <mergeCell ref="J1596:K1596"/>
    <mergeCell ref="L1596:P1596"/>
    <mergeCell ref="B1597:P1597"/>
    <mergeCell ref="B1593:P1594"/>
    <mergeCell ref="B1595:D1595"/>
    <mergeCell ref="E1595:F1595"/>
    <mergeCell ref="G1595:I1595"/>
    <mergeCell ref="J1595:L1595"/>
    <mergeCell ref="M1595:N1595"/>
    <mergeCell ref="O1595:P1595"/>
    <mergeCell ref="B1592:C1592"/>
    <mergeCell ref="D1592:E1592"/>
    <mergeCell ref="F1592:G1592"/>
    <mergeCell ref="H1592:J1592"/>
    <mergeCell ref="K1592:N1592"/>
    <mergeCell ref="O1592:P1592"/>
    <mergeCell ref="B1590:D1590"/>
    <mergeCell ref="E1590:H1590"/>
    <mergeCell ref="J1590:P1590"/>
    <mergeCell ref="B1591:D1591"/>
    <mergeCell ref="F1591:G1591"/>
    <mergeCell ref="I1591:J1591"/>
    <mergeCell ref="L1591:M1591"/>
    <mergeCell ref="O1591:P1591"/>
    <mergeCell ref="B1588:D1588"/>
    <mergeCell ref="E1588:J1588"/>
    <mergeCell ref="L1588:P1588"/>
    <mergeCell ref="B1589:D1589"/>
    <mergeCell ref="E1589:I1589"/>
    <mergeCell ref="K1589:L1589"/>
    <mergeCell ref="M1589:N1589"/>
    <mergeCell ref="O1589:P1589"/>
    <mergeCell ref="B1586:D1586"/>
    <mergeCell ref="E1586:G1586"/>
    <mergeCell ref="H1586:I1586"/>
    <mergeCell ref="K1586:M1586"/>
    <mergeCell ref="N1586:P1586"/>
    <mergeCell ref="B1587:D1587"/>
    <mergeCell ref="E1587:I1587"/>
    <mergeCell ref="J1587:K1587"/>
    <mergeCell ref="L1587:P1587"/>
    <mergeCell ref="B1584:P1584"/>
    <mergeCell ref="B1585:D1585"/>
    <mergeCell ref="E1585:G1585"/>
    <mergeCell ref="H1585:I1585"/>
    <mergeCell ref="J1585:L1585"/>
    <mergeCell ref="M1585:N1585"/>
    <mergeCell ref="O1585:P1585"/>
    <mergeCell ref="B1577:G1578"/>
    <mergeCell ref="I1578:P1578"/>
    <mergeCell ref="B1579:E1579"/>
    <mergeCell ref="F1579:L1583"/>
    <mergeCell ref="M1579:P1580"/>
    <mergeCell ref="B1580:E1580"/>
    <mergeCell ref="C1581:E1581"/>
    <mergeCell ref="C1582:E1582"/>
    <mergeCell ref="M1582:P1583"/>
    <mergeCell ref="C1583:E1583"/>
    <mergeCell ref="B1572:P1572"/>
    <mergeCell ref="B1573:B1574"/>
    <mergeCell ref="C1573:I1573"/>
    <mergeCell ref="K1573:M1573"/>
    <mergeCell ref="C1574:I1574"/>
    <mergeCell ref="J1574:P1574"/>
    <mergeCell ref="B1569:I1569"/>
    <mergeCell ref="K1569:P1569"/>
    <mergeCell ref="B1570:I1570"/>
    <mergeCell ref="K1570:P1570"/>
    <mergeCell ref="B1571:I1571"/>
    <mergeCell ref="K1571:P1571"/>
    <mergeCell ref="C1564:D1564"/>
    <mergeCell ref="E1564:F1564"/>
    <mergeCell ref="G1564:I1564"/>
    <mergeCell ref="J1564:K1564"/>
    <mergeCell ref="L1564:P1564"/>
    <mergeCell ref="B1565:I1566"/>
    <mergeCell ref="J1565:P1568"/>
    <mergeCell ref="B1567:I1568"/>
    <mergeCell ref="B1563:D1563"/>
    <mergeCell ref="E1563:F1563"/>
    <mergeCell ref="G1563:I1563"/>
    <mergeCell ref="J1563:L1563"/>
    <mergeCell ref="M1563:N1563"/>
    <mergeCell ref="O1563:P1563"/>
    <mergeCell ref="C1561:D1561"/>
    <mergeCell ref="E1561:F1561"/>
    <mergeCell ref="G1561:I1561"/>
    <mergeCell ref="J1561:K1561"/>
    <mergeCell ref="L1561:P1561"/>
    <mergeCell ref="B1562:P1562"/>
    <mergeCell ref="B1558:P1559"/>
    <mergeCell ref="B1560:D1560"/>
    <mergeCell ref="E1560:F1560"/>
    <mergeCell ref="G1560:I1560"/>
    <mergeCell ref="J1560:L1560"/>
    <mergeCell ref="M1560:N1560"/>
    <mergeCell ref="O1560:P1560"/>
    <mergeCell ref="B1557:C1557"/>
    <mergeCell ref="D1557:E1557"/>
    <mergeCell ref="F1557:G1557"/>
    <mergeCell ref="H1557:J1557"/>
    <mergeCell ref="K1557:N1557"/>
    <mergeCell ref="O1557:P1557"/>
    <mergeCell ref="B1555:D1555"/>
    <mergeCell ref="E1555:H1555"/>
    <mergeCell ref="J1555:P1555"/>
    <mergeCell ref="B1556:D1556"/>
    <mergeCell ref="F1556:G1556"/>
    <mergeCell ref="I1556:J1556"/>
    <mergeCell ref="L1556:M1556"/>
    <mergeCell ref="O1556:P1556"/>
    <mergeCell ref="B1553:D1553"/>
    <mergeCell ref="E1553:J1553"/>
    <mergeCell ref="L1553:P1553"/>
    <mergeCell ref="B1554:D1554"/>
    <mergeCell ref="E1554:I1554"/>
    <mergeCell ref="K1554:L1554"/>
    <mergeCell ref="M1554:N1554"/>
    <mergeCell ref="O1554:P1554"/>
    <mergeCell ref="B1551:D1551"/>
    <mergeCell ref="E1551:G1551"/>
    <mergeCell ref="H1551:I1551"/>
    <mergeCell ref="K1551:M1551"/>
    <mergeCell ref="N1551:P1551"/>
    <mergeCell ref="B1552:D1552"/>
    <mergeCell ref="E1552:I1552"/>
    <mergeCell ref="J1552:K1552"/>
    <mergeCell ref="L1552:P1552"/>
    <mergeCell ref="B1549:P1549"/>
    <mergeCell ref="B1550:D1550"/>
    <mergeCell ref="E1550:G1550"/>
    <mergeCell ref="H1550:I1550"/>
    <mergeCell ref="J1550:L1550"/>
    <mergeCell ref="M1550:N1550"/>
    <mergeCell ref="O1550:P1550"/>
    <mergeCell ref="B1542:G1543"/>
    <mergeCell ref="I1543:P1543"/>
    <mergeCell ref="B1544:E1544"/>
    <mergeCell ref="F1544:L1548"/>
    <mergeCell ref="M1544:P1545"/>
    <mergeCell ref="B1545:E1545"/>
    <mergeCell ref="C1546:E1546"/>
    <mergeCell ref="C1547:E1547"/>
    <mergeCell ref="M1547:P1548"/>
    <mergeCell ref="C1548:E1548"/>
    <mergeCell ref="B1537:P1537"/>
    <mergeCell ref="B1538:B1539"/>
    <mergeCell ref="C1538:I1538"/>
    <mergeCell ref="K1538:M1538"/>
    <mergeCell ref="C1539:I1539"/>
    <mergeCell ref="J1539:P1539"/>
    <mergeCell ref="B1534:I1534"/>
    <mergeCell ref="K1534:P1534"/>
    <mergeCell ref="B1535:I1535"/>
    <mergeCell ref="K1535:P1535"/>
    <mergeCell ref="B1536:I1536"/>
    <mergeCell ref="K1536:P1536"/>
    <mergeCell ref="C1529:D1529"/>
    <mergeCell ref="E1529:F1529"/>
    <mergeCell ref="G1529:I1529"/>
    <mergeCell ref="J1529:K1529"/>
    <mergeCell ref="L1529:P1529"/>
    <mergeCell ref="B1530:I1531"/>
    <mergeCell ref="J1530:P1533"/>
    <mergeCell ref="B1532:I1533"/>
    <mergeCell ref="B1528:D1528"/>
    <mergeCell ref="E1528:F1528"/>
    <mergeCell ref="G1528:I1528"/>
    <mergeCell ref="J1528:L1528"/>
    <mergeCell ref="M1528:N1528"/>
    <mergeCell ref="O1528:P1528"/>
    <mergeCell ref="C1526:D1526"/>
    <mergeCell ref="E1526:F1526"/>
    <mergeCell ref="G1526:I1526"/>
    <mergeCell ref="J1526:K1526"/>
    <mergeCell ref="L1526:P1526"/>
    <mergeCell ref="B1527:P1527"/>
    <mergeCell ref="B1523:P1524"/>
    <mergeCell ref="B1525:D1525"/>
    <mergeCell ref="E1525:F1525"/>
    <mergeCell ref="G1525:I1525"/>
    <mergeCell ref="J1525:L1525"/>
    <mergeCell ref="M1525:N1525"/>
    <mergeCell ref="O1525:P1525"/>
    <mergeCell ref="B1522:C1522"/>
    <mergeCell ref="D1522:E1522"/>
    <mergeCell ref="F1522:G1522"/>
    <mergeCell ref="H1522:J1522"/>
    <mergeCell ref="K1522:N1522"/>
    <mergeCell ref="O1522:P1522"/>
    <mergeCell ref="B1520:D1520"/>
    <mergeCell ref="E1520:H1520"/>
    <mergeCell ref="J1520:P1520"/>
    <mergeCell ref="B1521:D1521"/>
    <mergeCell ref="F1521:G1521"/>
    <mergeCell ref="I1521:J1521"/>
    <mergeCell ref="L1521:M1521"/>
    <mergeCell ref="O1521:P1521"/>
    <mergeCell ref="B1518:D1518"/>
    <mergeCell ref="E1518:J1518"/>
    <mergeCell ref="L1518:P1518"/>
    <mergeCell ref="B1519:D1519"/>
    <mergeCell ref="E1519:I1519"/>
    <mergeCell ref="K1519:L1519"/>
    <mergeCell ref="M1519:N1519"/>
    <mergeCell ref="O1519:P1519"/>
    <mergeCell ref="B1516:D1516"/>
    <mergeCell ref="E1516:G1516"/>
    <mergeCell ref="H1516:I1516"/>
    <mergeCell ref="K1516:M1516"/>
    <mergeCell ref="N1516:P1516"/>
    <mergeCell ref="B1517:D1517"/>
    <mergeCell ref="E1517:I1517"/>
    <mergeCell ref="J1517:K1517"/>
    <mergeCell ref="L1517:P1517"/>
    <mergeCell ref="B1514:P1514"/>
    <mergeCell ref="B1515:D1515"/>
    <mergeCell ref="E1515:G1515"/>
    <mergeCell ref="H1515:I1515"/>
    <mergeCell ref="J1515:L1515"/>
    <mergeCell ref="M1515:N1515"/>
    <mergeCell ref="O1515:P1515"/>
    <mergeCell ref="B1507:G1508"/>
    <mergeCell ref="I1508:P1508"/>
    <mergeCell ref="B1509:E1509"/>
    <mergeCell ref="F1509:L1513"/>
    <mergeCell ref="M1509:P1510"/>
    <mergeCell ref="B1510:E1510"/>
    <mergeCell ref="C1511:E1511"/>
    <mergeCell ref="C1512:E1512"/>
    <mergeCell ref="M1512:P1513"/>
    <mergeCell ref="C1513:E1513"/>
    <mergeCell ref="B1502:P1502"/>
    <mergeCell ref="B1503:B1504"/>
    <mergeCell ref="C1503:I1503"/>
    <mergeCell ref="K1503:M1503"/>
    <mergeCell ref="C1504:I1504"/>
    <mergeCell ref="J1504:P1504"/>
    <mergeCell ref="B1499:I1499"/>
    <mergeCell ref="K1499:P1499"/>
    <mergeCell ref="B1500:I1500"/>
    <mergeCell ref="K1500:P1500"/>
    <mergeCell ref="B1501:I1501"/>
    <mergeCell ref="K1501:P1501"/>
    <mergeCell ref="C1494:D1494"/>
    <mergeCell ref="E1494:F1494"/>
    <mergeCell ref="G1494:I1494"/>
    <mergeCell ref="J1494:K1494"/>
    <mergeCell ref="L1494:P1494"/>
    <mergeCell ref="B1495:I1496"/>
    <mergeCell ref="J1495:P1498"/>
    <mergeCell ref="B1497:I1498"/>
    <mergeCell ref="B1493:D1493"/>
    <mergeCell ref="E1493:F1493"/>
    <mergeCell ref="G1493:I1493"/>
    <mergeCell ref="J1493:L1493"/>
    <mergeCell ref="M1493:N1493"/>
    <mergeCell ref="O1493:P1493"/>
    <mergeCell ref="C1491:D1491"/>
    <mergeCell ref="E1491:F1491"/>
    <mergeCell ref="G1491:I1491"/>
    <mergeCell ref="J1491:K1491"/>
    <mergeCell ref="L1491:P1491"/>
    <mergeCell ref="B1492:P1492"/>
    <mergeCell ref="B1488:P1489"/>
    <mergeCell ref="B1490:D1490"/>
    <mergeCell ref="E1490:F1490"/>
    <mergeCell ref="G1490:I1490"/>
    <mergeCell ref="J1490:L1490"/>
    <mergeCell ref="M1490:N1490"/>
    <mergeCell ref="O1490:P1490"/>
    <mergeCell ref="B1487:C1487"/>
    <mergeCell ref="D1487:E1487"/>
    <mergeCell ref="F1487:G1487"/>
    <mergeCell ref="H1487:J1487"/>
    <mergeCell ref="K1487:N1487"/>
    <mergeCell ref="O1487:P1487"/>
    <mergeCell ref="B1485:D1485"/>
    <mergeCell ref="E1485:H1485"/>
    <mergeCell ref="J1485:P1485"/>
    <mergeCell ref="B1486:D1486"/>
    <mergeCell ref="F1486:G1486"/>
    <mergeCell ref="I1486:J1486"/>
    <mergeCell ref="L1486:M1486"/>
    <mergeCell ref="O1486:P1486"/>
    <mergeCell ref="B1483:D1483"/>
    <mergeCell ref="E1483:J1483"/>
    <mergeCell ref="L1483:P1483"/>
    <mergeCell ref="B1484:D1484"/>
    <mergeCell ref="E1484:I1484"/>
    <mergeCell ref="K1484:L1484"/>
    <mergeCell ref="M1484:N1484"/>
    <mergeCell ref="O1484:P1484"/>
    <mergeCell ref="B1481:D1481"/>
    <mergeCell ref="E1481:G1481"/>
    <mergeCell ref="H1481:I1481"/>
    <mergeCell ref="K1481:M1481"/>
    <mergeCell ref="N1481:P1481"/>
    <mergeCell ref="B1482:D1482"/>
    <mergeCell ref="E1482:I1482"/>
    <mergeCell ref="J1482:K1482"/>
    <mergeCell ref="L1482:P1482"/>
    <mergeCell ref="B1479:P1479"/>
    <mergeCell ref="B1480:D1480"/>
    <mergeCell ref="E1480:G1480"/>
    <mergeCell ref="H1480:I1480"/>
    <mergeCell ref="J1480:L1480"/>
    <mergeCell ref="M1480:N1480"/>
    <mergeCell ref="O1480:P1480"/>
    <mergeCell ref="B1472:G1473"/>
    <mergeCell ref="I1473:P1473"/>
    <mergeCell ref="B1474:E1474"/>
    <mergeCell ref="F1474:L1478"/>
    <mergeCell ref="M1474:P1475"/>
    <mergeCell ref="B1475:E1475"/>
    <mergeCell ref="C1476:E1476"/>
    <mergeCell ref="C1477:E1477"/>
    <mergeCell ref="M1477:P1478"/>
    <mergeCell ref="C1478:E1478"/>
    <mergeCell ref="B1467:P1467"/>
    <mergeCell ref="B1468:B1469"/>
    <mergeCell ref="C1468:I1468"/>
    <mergeCell ref="K1468:M1468"/>
    <mergeCell ref="C1469:I1469"/>
    <mergeCell ref="J1469:P1469"/>
    <mergeCell ref="B1464:I1464"/>
    <mergeCell ref="K1464:P1464"/>
    <mergeCell ref="B1465:I1465"/>
    <mergeCell ref="K1465:P1465"/>
    <mergeCell ref="B1466:I1466"/>
    <mergeCell ref="K1466:P1466"/>
    <mergeCell ref="C1459:D1459"/>
    <mergeCell ref="E1459:F1459"/>
    <mergeCell ref="G1459:I1459"/>
    <mergeCell ref="J1459:K1459"/>
    <mergeCell ref="L1459:P1459"/>
    <mergeCell ref="B1460:I1461"/>
    <mergeCell ref="J1460:P1463"/>
    <mergeCell ref="B1462:I1463"/>
    <mergeCell ref="B1458:D1458"/>
    <mergeCell ref="E1458:F1458"/>
    <mergeCell ref="G1458:I1458"/>
    <mergeCell ref="J1458:L1458"/>
    <mergeCell ref="M1458:N1458"/>
    <mergeCell ref="O1458:P1458"/>
    <mergeCell ref="C1456:D1456"/>
    <mergeCell ref="E1456:F1456"/>
    <mergeCell ref="G1456:I1456"/>
    <mergeCell ref="J1456:K1456"/>
    <mergeCell ref="L1456:P1456"/>
    <mergeCell ref="B1457:P1457"/>
    <mergeCell ref="B1453:P1454"/>
    <mergeCell ref="B1455:D1455"/>
    <mergeCell ref="E1455:F1455"/>
    <mergeCell ref="G1455:I1455"/>
    <mergeCell ref="J1455:L1455"/>
    <mergeCell ref="M1455:N1455"/>
    <mergeCell ref="O1455:P1455"/>
    <mergeCell ref="B1452:C1452"/>
    <mergeCell ref="D1452:E1452"/>
    <mergeCell ref="F1452:G1452"/>
    <mergeCell ref="H1452:J1452"/>
    <mergeCell ref="K1452:N1452"/>
    <mergeCell ref="O1452:P1452"/>
    <mergeCell ref="B1450:D1450"/>
    <mergeCell ref="E1450:H1450"/>
    <mergeCell ref="J1450:P1450"/>
    <mergeCell ref="B1451:D1451"/>
    <mergeCell ref="F1451:G1451"/>
    <mergeCell ref="I1451:J1451"/>
    <mergeCell ref="L1451:M1451"/>
    <mergeCell ref="O1451:P1451"/>
    <mergeCell ref="B1448:D1448"/>
    <mergeCell ref="E1448:J1448"/>
    <mergeCell ref="L1448:P1448"/>
    <mergeCell ref="B1449:D1449"/>
    <mergeCell ref="E1449:I1449"/>
    <mergeCell ref="K1449:L1449"/>
    <mergeCell ref="M1449:N1449"/>
    <mergeCell ref="O1449:P1449"/>
    <mergeCell ref="B1446:D1446"/>
    <mergeCell ref="E1446:G1446"/>
    <mergeCell ref="H1446:I1446"/>
    <mergeCell ref="K1446:M1446"/>
    <mergeCell ref="N1446:P1446"/>
    <mergeCell ref="B1447:D1447"/>
    <mergeCell ref="E1447:I1447"/>
    <mergeCell ref="J1447:K1447"/>
    <mergeCell ref="L1447:P1447"/>
    <mergeCell ref="B1444:P1444"/>
    <mergeCell ref="B1445:D1445"/>
    <mergeCell ref="E1445:G1445"/>
    <mergeCell ref="H1445:I1445"/>
    <mergeCell ref="J1445:L1445"/>
    <mergeCell ref="M1445:N1445"/>
    <mergeCell ref="O1445:P1445"/>
    <mergeCell ref="B1437:G1438"/>
    <mergeCell ref="I1438:P1438"/>
    <mergeCell ref="B1439:E1439"/>
    <mergeCell ref="F1439:L1443"/>
    <mergeCell ref="M1439:P1440"/>
    <mergeCell ref="B1440:E1440"/>
    <mergeCell ref="C1441:E1441"/>
    <mergeCell ref="C1442:E1442"/>
    <mergeCell ref="M1442:P1443"/>
    <mergeCell ref="C1443:E1443"/>
    <mergeCell ref="B1432:P1432"/>
    <mergeCell ref="B1433:B1434"/>
    <mergeCell ref="C1433:I1433"/>
    <mergeCell ref="K1433:M1433"/>
    <mergeCell ref="C1434:I1434"/>
    <mergeCell ref="J1434:P1434"/>
    <mergeCell ref="B1429:I1429"/>
    <mergeCell ref="K1429:P1429"/>
    <mergeCell ref="B1430:I1430"/>
    <mergeCell ref="K1430:P1430"/>
    <mergeCell ref="B1431:I1431"/>
    <mergeCell ref="K1431:P1431"/>
    <mergeCell ref="C1424:D1424"/>
    <mergeCell ref="E1424:F1424"/>
    <mergeCell ref="G1424:I1424"/>
    <mergeCell ref="J1424:K1424"/>
    <mergeCell ref="L1424:P1424"/>
    <mergeCell ref="B1425:I1426"/>
    <mergeCell ref="J1425:P1428"/>
    <mergeCell ref="B1427:I1428"/>
    <mergeCell ref="B1423:D1423"/>
    <mergeCell ref="E1423:F1423"/>
    <mergeCell ref="G1423:I1423"/>
    <mergeCell ref="J1423:L1423"/>
    <mergeCell ref="M1423:N1423"/>
    <mergeCell ref="O1423:P1423"/>
    <mergeCell ref="C1421:D1421"/>
    <mergeCell ref="E1421:F1421"/>
    <mergeCell ref="G1421:I1421"/>
    <mergeCell ref="J1421:K1421"/>
    <mergeCell ref="L1421:P1421"/>
    <mergeCell ref="B1422:P1422"/>
    <mergeCell ref="B1418:P1419"/>
    <mergeCell ref="B1420:D1420"/>
    <mergeCell ref="E1420:F1420"/>
    <mergeCell ref="G1420:I1420"/>
    <mergeCell ref="J1420:L1420"/>
    <mergeCell ref="M1420:N1420"/>
    <mergeCell ref="O1420:P1420"/>
    <mergeCell ref="B1417:C1417"/>
    <mergeCell ref="D1417:E1417"/>
    <mergeCell ref="F1417:G1417"/>
    <mergeCell ref="H1417:J1417"/>
    <mergeCell ref="K1417:N1417"/>
    <mergeCell ref="O1417:P1417"/>
    <mergeCell ref="B1415:D1415"/>
    <mergeCell ref="E1415:H1415"/>
    <mergeCell ref="J1415:P1415"/>
    <mergeCell ref="B1416:D1416"/>
    <mergeCell ref="F1416:G1416"/>
    <mergeCell ref="I1416:J1416"/>
    <mergeCell ref="L1416:M1416"/>
    <mergeCell ref="O1416:P1416"/>
    <mergeCell ref="B1413:D1413"/>
    <mergeCell ref="E1413:J1413"/>
    <mergeCell ref="L1413:P1413"/>
    <mergeCell ref="B1414:D1414"/>
    <mergeCell ref="E1414:I1414"/>
    <mergeCell ref="K1414:L1414"/>
    <mergeCell ref="M1414:N1414"/>
    <mergeCell ref="O1414:P1414"/>
    <mergeCell ref="B1411:D1411"/>
    <mergeCell ref="E1411:G1411"/>
    <mergeCell ref="H1411:I1411"/>
    <mergeCell ref="K1411:M1411"/>
    <mergeCell ref="N1411:P1411"/>
    <mergeCell ref="B1412:D1412"/>
    <mergeCell ref="E1412:I1412"/>
    <mergeCell ref="J1412:K1412"/>
    <mergeCell ref="L1412:P1412"/>
    <mergeCell ref="B1409:P1409"/>
    <mergeCell ref="B1410:D1410"/>
    <mergeCell ref="E1410:G1410"/>
    <mergeCell ref="H1410:I1410"/>
    <mergeCell ref="J1410:L1410"/>
    <mergeCell ref="M1410:N1410"/>
    <mergeCell ref="O1410:P1410"/>
    <mergeCell ref="B1402:G1403"/>
    <mergeCell ref="I1403:P1403"/>
    <mergeCell ref="B1404:E1404"/>
    <mergeCell ref="F1404:L1408"/>
    <mergeCell ref="M1404:P1405"/>
    <mergeCell ref="B1405:E1405"/>
    <mergeCell ref="C1406:E1406"/>
    <mergeCell ref="C1407:E1407"/>
    <mergeCell ref="M1407:P1408"/>
    <mergeCell ref="C1408:E1408"/>
    <mergeCell ref="B1397:P1397"/>
    <mergeCell ref="B1398:B1399"/>
    <mergeCell ref="C1398:I1398"/>
    <mergeCell ref="K1398:M1398"/>
    <mergeCell ref="C1399:I1399"/>
    <mergeCell ref="J1399:P1399"/>
    <mergeCell ref="B1394:I1394"/>
    <mergeCell ref="K1394:P1394"/>
    <mergeCell ref="B1395:I1395"/>
    <mergeCell ref="K1395:P1395"/>
    <mergeCell ref="B1396:I1396"/>
    <mergeCell ref="K1396:P1396"/>
    <mergeCell ref="C1389:D1389"/>
    <mergeCell ref="E1389:F1389"/>
    <mergeCell ref="G1389:I1389"/>
    <mergeCell ref="J1389:K1389"/>
    <mergeCell ref="L1389:P1389"/>
    <mergeCell ref="B1390:I1391"/>
    <mergeCell ref="J1390:P1393"/>
    <mergeCell ref="B1392:I1393"/>
    <mergeCell ref="B1388:D1388"/>
    <mergeCell ref="E1388:F1388"/>
    <mergeCell ref="G1388:I1388"/>
    <mergeCell ref="J1388:L1388"/>
    <mergeCell ref="M1388:N1388"/>
    <mergeCell ref="O1388:P1388"/>
    <mergeCell ref="C1386:D1386"/>
    <mergeCell ref="E1386:F1386"/>
    <mergeCell ref="G1386:I1386"/>
    <mergeCell ref="J1386:K1386"/>
    <mergeCell ref="L1386:P1386"/>
    <mergeCell ref="B1387:P1387"/>
    <mergeCell ref="B1383:P1384"/>
    <mergeCell ref="B1385:D1385"/>
    <mergeCell ref="E1385:F1385"/>
    <mergeCell ref="G1385:I1385"/>
    <mergeCell ref="J1385:L1385"/>
    <mergeCell ref="M1385:N1385"/>
    <mergeCell ref="O1385:P1385"/>
    <mergeCell ref="B1382:C1382"/>
    <mergeCell ref="D1382:E1382"/>
    <mergeCell ref="F1382:G1382"/>
    <mergeCell ref="H1382:J1382"/>
    <mergeCell ref="K1382:N1382"/>
    <mergeCell ref="O1382:P1382"/>
    <mergeCell ref="B1380:D1380"/>
    <mergeCell ref="E1380:H1380"/>
    <mergeCell ref="J1380:P1380"/>
    <mergeCell ref="B1381:D1381"/>
    <mergeCell ref="F1381:G1381"/>
    <mergeCell ref="I1381:J1381"/>
    <mergeCell ref="L1381:M1381"/>
    <mergeCell ref="O1381:P1381"/>
    <mergeCell ref="B1378:D1378"/>
    <mergeCell ref="E1378:J1378"/>
    <mergeCell ref="L1378:P1378"/>
    <mergeCell ref="B1379:D1379"/>
    <mergeCell ref="E1379:I1379"/>
    <mergeCell ref="K1379:L1379"/>
    <mergeCell ref="M1379:N1379"/>
    <mergeCell ref="O1379:P1379"/>
    <mergeCell ref="B1376:D1376"/>
    <mergeCell ref="E1376:G1376"/>
    <mergeCell ref="H1376:I1376"/>
    <mergeCell ref="K1376:M1376"/>
    <mergeCell ref="N1376:P1376"/>
    <mergeCell ref="B1377:D1377"/>
    <mergeCell ref="E1377:I1377"/>
    <mergeCell ref="J1377:K1377"/>
    <mergeCell ref="L1377:P1377"/>
    <mergeCell ref="B1374:P1374"/>
    <mergeCell ref="B1375:D1375"/>
    <mergeCell ref="E1375:G1375"/>
    <mergeCell ref="H1375:I1375"/>
    <mergeCell ref="J1375:L1375"/>
    <mergeCell ref="M1375:N1375"/>
    <mergeCell ref="O1375:P1375"/>
    <mergeCell ref="B1367:G1368"/>
    <mergeCell ref="I1368:P1368"/>
    <mergeCell ref="B1369:E1369"/>
    <mergeCell ref="F1369:L1373"/>
    <mergeCell ref="M1369:P1370"/>
    <mergeCell ref="B1370:E1370"/>
    <mergeCell ref="C1371:E1371"/>
    <mergeCell ref="C1372:E1372"/>
    <mergeCell ref="M1372:P1373"/>
    <mergeCell ref="C1373:E1373"/>
    <mergeCell ref="B1362:P1362"/>
    <mergeCell ref="B1363:B1364"/>
    <mergeCell ref="C1363:I1363"/>
    <mergeCell ref="K1363:M1363"/>
    <mergeCell ref="C1364:I1364"/>
    <mergeCell ref="J1364:P1364"/>
    <mergeCell ref="B1359:I1359"/>
    <mergeCell ref="K1359:P1359"/>
    <mergeCell ref="B1360:I1360"/>
    <mergeCell ref="K1360:P1360"/>
    <mergeCell ref="B1361:I1361"/>
    <mergeCell ref="K1361:P1361"/>
    <mergeCell ref="C1354:D1354"/>
    <mergeCell ref="E1354:F1354"/>
    <mergeCell ref="G1354:I1354"/>
    <mergeCell ref="J1354:K1354"/>
    <mergeCell ref="L1354:P1354"/>
    <mergeCell ref="B1355:I1356"/>
    <mergeCell ref="J1355:P1358"/>
    <mergeCell ref="B1357:I1358"/>
    <mergeCell ref="B1353:D1353"/>
    <mergeCell ref="E1353:F1353"/>
    <mergeCell ref="G1353:I1353"/>
    <mergeCell ref="J1353:L1353"/>
    <mergeCell ref="M1353:N1353"/>
    <mergeCell ref="O1353:P1353"/>
    <mergeCell ref="C1351:D1351"/>
    <mergeCell ref="E1351:F1351"/>
    <mergeCell ref="G1351:I1351"/>
    <mergeCell ref="J1351:K1351"/>
    <mergeCell ref="L1351:P1351"/>
    <mergeCell ref="B1352:P1352"/>
    <mergeCell ref="B1348:P1349"/>
    <mergeCell ref="B1350:D1350"/>
    <mergeCell ref="E1350:F1350"/>
    <mergeCell ref="G1350:I1350"/>
    <mergeCell ref="J1350:L1350"/>
    <mergeCell ref="M1350:N1350"/>
    <mergeCell ref="O1350:P1350"/>
    <mergeCell ref="B1347:C1347"/>
    <mergeCell ref="D1347:E1347"/>
    <mergeCell ref="F1347:G1347"/>
    <mergeCell ref="H1347:J1347"/>
    <mergeCell ref="K1347:N1347"/>
    <mergeCell ref="O1347:P1347"/>
    <mergeCell ref="B1345:D1345"/>
    <mergeCell ref="E1345:H1345"/>
    <mergeCell ref="J1345:P1345"/>
    <mergeCell ref="B1346:D1346"/>
    <mergeCell ref="F1346:G1346"/>
    <mergeCell ref="I1346:J1346"/>
    <mergeCell ref="L1346:M1346"/>
    <mergeCell ref="O1346:P1346"/>
    <mergeCell ref="B1343:D1343"/>
    <mergeCell ref="E1343:J1343"/>
    <mergeCell ref="L1343:P1343"/>
    <mergeCell ref="B1344:D1344"/>
    <mergeCell ref="E1344:I1344"/>
    <mergeCell ref="K1344:L1344"/>
    <mergeCell ref="M1344:N1344"/>
    <mergeCell ref="O1344:P1344"/>
    <mergeCell ref="B1341:D1341"/>
    <mergeCell ref="E1341:G1341"/>
    <mergeCell ref="H1341:I1341"/>
    <mergeCell ref="K1341:M1341"/>
    <mergeCell ref="N1341:P1341"/>
    <mergeCell ref="B1342:D1342"/>
    <mergeCell ref="E1342:I1342"/>
    <mergeCell ref="J1342:K1342"/>
    <mergeCell ref="L1342:P1342"/>
    <mergeCell ref="B1339:P1339"/>
    <mergeCell ref="B1340:D1340"/>
    <mergeCell ref="E1340:G1340"/>
    <mergeCell ref="H1340:I1340"/>
    <mergeCell ref="J1340:L1340"/>
    <mergeCell ref="M1340:N1340"/>
    <mergeCell ref="O1340:P1340"/>
    <mergeCell ref="B1332:G1333"/>
    <mergeCell ref="I1333:P1333"/>
    <mergeCell ref="B1334:E1334"/>
    <mergeCell ref="F1334:L1338"/>
    <mergeCell ref="M1334:P1335"/>
    <mergeCell ref="B1335:E1335"/>
    <mergeCell ref="C1336:E1336"/>
    <mergeCell ref="C1337:E1337"/>
    <mergeCell ref="M1337:P1338"/>
    <mergeCell ref="C1338:E1338"/>
    <mergeCell ref="B1327:P1327"/>
    <mergeCell ref="B1328:B1329"/>
    <mergeCell ref="C1328:I1328"/>
    <mergeCell ref="K1328:M1328"/>
    <mergeCell ref="C1329:I1329"/>
    <mergeCell ref="J1329:P1329"/>
    <mergeCell ref="B1324:I1324"/>
    <mergeCell ref="K1324:P1324"/>
    <mergeCell ref="B1325:I1325"/>
    <mergeCell ref="K1325:P1325"/>
    <mergeCell ref="B1326:I1326"/>
    <mergeCell ref="K1326:P1326"/>
    <mergeCell ref="C1319:D1319"/>
    <mergeCell ref="E1319:F1319"/>
    <mergeCell ref="G1319:I1319"/>
    <mergeCell ref="J1319:K1319"/>
    <mergeCell ref="L1319:P1319"/>
    <mergeCell ref="B1320:I1321"/>
    <mergeCell ref="J1320:P1323"/>
    <mergeCell ref="B1322:I1323"/>
    <mergeCell ref="B1318:D1318"/>
    <mergeCell ref="E1318:F1318"/>
    <mergeCell ref="G1318:I1318"/>
    <mergeCell ref="J1318:L1318"/>
    <mergeCell ref="M1318:N1318"/>
    <mergeCell ref="O1318:P1318"/>
    <mergeCell ref="C1316:D1316"/>
    <mergeCell ref="E1316:F1316"/>
    <mergeCell ref="G1316:I1316"/>
    <mergeCell ref="J1316:K1316"/>
    <mergeCell ref="L1316:P1316"/>
    <mergeCell ref="B1317:P1317"/>
    <mergeCell ref="B1313:P1314"/>
    <mergeCell ref="B1315:D1315"/>
    <mergeCell ref="E1315:F1315"/>
    <mergeCell ref="G1315:I1315"/>
    <mergeCell ref="J1315:L1315"/>
    <mergeCell ref="M1315:N1315"/>
    <mergeCell ref="O1315:P1315"/>
    <mergeCell ref="B1312:C1312"/>
    <mergeCell ref="D1312:E1312"/>
    <mergeCell ref="F1312:G1312"/>
    <mergeCell ref="H1312:J1312"/>
    <mergeCell ref="K1312:N1312"/>
    <mergeCell ref="O1312:P1312"/>
    <mergeCell ref="B1310:D1310"/>
    <mergeCell ref="E1310:H1310"/>
    <mergeCell ref="J1310:P1310"/>
    <mergeCell ref="B1311:D1311"/>
    <mergeCell ref="F1311:G1311"/>
    <mergeCell ref="I1311:J1311"/>
    <mergeCell ref="L1311:M1311"/>
    <mergeCell ref="O1311:P1311"/>
    <mergeCell ref="B1308:D1308"/>
    <mergeCell ref="E1308:J1308"/>
    <mergeCell ref="L1308:P1308"/>
    <mergeCell ref="B1309:D1309"/>
    <mergeCell ref="E1309:I1309"/>
    <mergeCell ref="K1309:L1309"/>
    <mergeCell ref="M1309:N1309"/>
    <mergeCell ref="O1309:P1309"/>
    <mergeCell ref="B1306:D1306"/>
    <mergeCell ref="E1306:G1306"/>
    <mergeCell ref="H1306:I1306"/>
    <mergeCell ref="K1306:M1306"/>
    <mergeCell ref="N1306:P1306"/>
    <mergeCell ref="B1307:D1307"/>
    <mergeCell ref="E1307:I1307"/>
    <mergeCell ref="J1307:K1307"/>
    <mergeCell ref="L1307:P1307"/>
    <mergeCell ref="B1304:P1304"/>
    <mergeCell ref="B1305:D1305"/>
    <mergeCell ref="E1305:G1305"/>
    <mergeCell ref="H1305:I1305"/>
    <mergeCell ref="J1305:L1305"/>
    <mergeCell ref="M1305:N1305"/>
    <mergeCell ref="O1305:P1305"/>
    <mergeCell ref="B1297:G1298"/>
    <mergeCell ref="I1298:P1298"/>
    <mergeCell ref="B1299:E1299"/>
    <mergeCell ref="F1299:L1303"/>
    <mergeCell ref="M1299:P1300"/>
    <mergeCell ref="B1300:E1300"/>
    <mergeCell ref="C1301:E1301"/>
    <mergeCell ref="C1302:E1302"/>
    <mergeCell ref="M1302:P1303"/>
    <mergeCell ref="C1303:E1303"/>
    <mergeCell ref="B1292:P1292"/>
    <mergeCell ref="B1293:B1294"/>
    <mergeCell ref="C1293:I1293"/>
    <mergeCell ref="K1293:M1293"/>
    <mergeCell ref="C1294:I1294"/>
    <mergeCell ref="J1294:P1294"/>
    <mergeCell ref="B1289:I1289"/>
    <mergeCell ref="K1289:P1289"/>
    <mergeCell ref="B1290:I1290"/>
    <mergeCell ref="K1290:P1290"/>
    <mergeCell ref="B1291:I1291"/>
    <mergeCell ref="K1291:P1291"/>
    <mergeCell ref="C1284:D1284"/>
    <mergeCell ref="E1284:F1284"/>
    <mergeCell ref="G1284:I1284"/>
    <mergeCell ref="J1284:K1284"/>
    <mergeCell ref="L1284:P1284"/>
    <mergeCell ref="B1285:I1286"/>
    <mergeCell ref="J1285:P1288"/>
    <mergeCell ref="B1287:I1288"/>
    <mergeCell ref="B1283:D1283"/>
    <mergeCell ref="E1283:F1283"/>
    <mergeCell ref="G1283:I1283"/>
    <mergeCell ref="J1283:L1283"/>
    <mergeCell ref="M1283:N1283"/>
    <mergeCell ref="O1283:P1283"/>
    <mergeCell ref="C1281:D1281"/>
    <mergeCell ref="E1281:F1281"/>
    <mergeCell ref="G1281:I1281"/>
    <mergeCell ref="J1281:K1281"/>
    <mergeCell ref="L1281:P1281"/>
    <mergeCell ref="B1282:P1282"/>
    <mergeCell ref="B1278:P1279"/>
    <mergeCell ref="B1280:D1280"/>
    <mergeCell ref="E1280:F1280"/>
    <mergeCell ref="G1280:I1280"/>
    <mergeCell ref="J1280:L1280"/>
    <mergeCell ref="M1280:N1280"/>
    <mergeCell ref="O1280:P1280"/>
    <mergeCell ref="B1277:C1277"/>
    <mergeCell ref="D1277:E1277"/>
    <mergeCell ref="F1277:G1277"/>
    <mergeCell ref="H1277:J1277"/>
    <mergeCell ref="K1277:N1277"/>
    <mergeCell ref="O1277:P1277"/>
    <mergeCell ref="B1275:D1275"/>
    <mergeCell ref="E1275:H1275"/>
    <mergeCell ref="J1275:P1275"/>
    <mergeCell ref="B1276:D1276"/>
    <mergeCell ref="F1276:G1276"/>
    <mergeCell ref="I1276:J1276"/>
    <mergeCell ref="L1276:M1276"/>
    <mergeCell ref="O1276:P1276"/>
    <mergeCell ref="B1273:D1273"/>
    <mergeCell ref="E1273:J1273"/>
    <mergeCell ref="L1273:P1273"/>
    <mergeCell ref="B1274:D1274"/>
    <mergeCell ref="E1274:I1274"/>
    <mergeCell ref="K1274:L1274"/>
    <mergeCell ref="M1274:N1274"/>
    <mergeCell ref="O1274:P1274"/>
    <mergeCell ref="B1271:D1271"/>
    <mergeCell ref="E1271:G1271"/>
    <mergeCell ref="H1271:I1271"/>
    <mergeCell ref="K1271:M1271"/>
    <mergeCell ref="N1271:P1271"/>
    <mergeCell ref="B1272:D1272"/>
    <mergeCell ref="E1272:I1272"/>
    <mergeCell ref="J1272:K1272"/>
    <mergeCell ref="L1272:P1272"/>
    <mergeCell ref="B1269:P1269"/>
    <mergeCell ref="B1270:D1270"/>
    <mergeCell ref="E1270:G1270"/>
    <mergeCell ref="H1270:I1270"/>
    <mergeCell ref="J1270:L1270"/>
    <mergeCell ref="M1270:N1270"/>
    <mergeCell ref="O1270:P1270"/>
    <mergeCell ref="B1262:G1263"/>
    <mergeCell ref="I1263:P1263"/>
    <mergeCell ref="B1264:E1264"/>
    <mergeCell ref="F1264:L1268"/>
    <mergeCell ref="M1264:P1265"/>
    <mergeCell ref="B1265:E1265"/>
    <mergeCell ref="C1266:E1266"/>
    <mergeCell ref="C1267:E1267"/>
    <mergeCell ref="M1267:P1268"/>
    <mergeCell ref="C1268:E1268"/>
    <mergeCell ref="B1257:P1257"/>
    <mergeCell ref="B1258:B1259"/>
    <mergeCell ref="C1258:I1258"/>
    <mergeCell ref="K1258:M1258"/>
    <mergeCell ref="C1259:I1259"/>
    <mergeCell ref="J1259:P1259"/>
    <mergeCell ref="B1254:I1254"/>
    <mergeCell ref="K1254:P1254"/>
    <mergeCell ref="B1255:I1255"/>
    <mergeCell ref="K1255:P1255"/>
    <mergeCell ref="B1256:I1256"/>
    <mergeCell ref="K1256:P1256"/>
    <mergeCell ref="C1249:D1249"/>
    <mergeCell ref="E1249:F1249"/>
    <mergeCell ref="G1249:I1249"/>
    <mergeCell ref="J1249:K1249"/>
    <mergeCell ref="L1249:P1249"/>
    <mergeCell ref="B1250:I1251"/>
    <mergeCell ref="J1250:P1253"/>
    <mergeCell ref="B1252:I1253"/>
    <mergeCell ref="B1248:D1248"/>
    <mergeCell ref="E1248:F1248"/>
    <mergeCell ref="G1248:I1248"/>
    <mergeCell ref="J1248:L1248"/>
    <mergeCell ref="M1248:N1248"/>
    <mergeCell ref="O1248:P1248"/>
    <mergeCell ref="C1246:D1246"/>
    <mergeCell ref="E1246:F1246"/>
    <mergeCell ref="G1246:I1246"/>
    <mergeCell ref="J1246:K1246"/>
    <mergeCell ref="L1246:P1246"/>
    <mergeCell ref="B1247:P1247"/>
    <mergeCell ref="B1243:P1244"/>
    <mergeCell ref="B1245:D1245"/>
    <mergeCell ref="E1245:F1245"/>
    <mergeCell ref="G1245:I1245"/>
    <mergeCell ref="J1245:L1245"/>
    <mergeCell ref="M1245:N1245"/>
    <mergeCell ref="O1245:P1245"/>
    <mergeCell ref="B1242:C1242"/>
    <mergeCell ref="D1242:E1242"/>
    <mergeCell ref="F1242:G1242"/>
    <mergeCell ref="H1242:J1242"/>
    <mergeCell ref="K1242:N1242"/>
    <mergeCell ref="O1242:P1242"/>
    <mergeCell ref="B1240:D1240"/>
    <mergeCell ref="E1240:H1240"/>
    <mergeCell ref="J1240:P1240"/>
    <mergeCell ref="B1241:D1241"/>
    <mergeCell ref="F1241:G1241"/>
    <mergeCell ref="I1241:J1241"/>
    <mergeCell ref="L1241:M1241"/>
    <mergeCell ref="O1241:P1241"/>
    <mergeCell ref="B1238:D1238"/>
    <mergeCell ref="E1238:J1238"/>
    <mergeCell ref="L1238:P1238"/>
    <mergeCell ref="B1239:D1239"/>
    <mergeCell ref="E1239:I1239"/>
    <mergeCell ref="K1239:L1239"/>
    <mergeCell ref="M1239:N1239"/>
    <mergeCell ref="O1239:P1239"/>
    <mergeCell ref="B1236:D1236"/>
    <mergeCell ref="E1236:G1236"/>
    <mergeCell ref="H1236:I1236"/>
    <mergeCell ref="K1236:M1236"/>
    <mergeCell ref="N1236:P1236"/>
    <mergeCell ref="B1237:D1237"/>
    <mergeCell ref="E1237:I1237"/>
    <mergeCell ref="J1237:K1237"/>
    <mergeCell ref="L1237:P1237"/>
    <mergeCell ref="B1234:P1234"/>
    <mergeCell ref="B1235:D1235"/>
    <mergeCell ref="E1235:G1235"/>
    <mergeCell ref="H1235:I1235"/>
    <mergeCell ref="J1235:L1235"/>
    <mergeCell ref="M1235:N1235"/>
    <mergeCell ref="O1235:P1235"/>
    <mergeCell ref="B1227:G1228"/>
    <mergeCell ref="I1228:P1228"/>
    <mergeCell ref="B1229:E1229"/>
    <mergeCell ref="F1229:L1233"/>
    <mergeCell ref="M1229:P1230"/>
    <mergeCell ref="B1230:E1230"/>
    <mergeCell ref="C1231:E1231"/>
    <mergeCell ref="C1232:E1232"/>
    <mergeCell ref="M1232:P1233"/>
    <mergeCell ref="C1233:E1233"/>
    <mergeCell ref="B1222:P1222"/>
    <mergeCell ref="B1223:B1224"/>
    <mergeCell ref="C1223:I1223"/>
    <mergeCell ref="K1223:M1223"/>
    <mergeCell ref="C1224:I1224"/>
    <mergeCell ref="J1224:P1224"/>
    <mergeCell ref="B1219:I1219"/>
    <mergeCell ref="K1219:P1219"/>
    <mergeCell ref="B1220:I1220"/>
    <mergeCell ref="K1220:P1220"/>
    <mergeCell ref="B1221:I1221"/>
    <mergeCell ref="K1221:P1221"/>
    <mergeCell ref="C1214:D1214"/>
    <mergeCell ref="E1214:F1214"/>
    <mergeCell ref="G1214:I1214"/>
    <mergeCell ref="J1214:K1214"/>
    <mergeCell ref="L1214:P1214"/>
    <mergeCell ref="B1215:I1216"/>
    <mergeCell ref="J1215:P1218"/>
    <mergeCell ref="B1217:I1218"/>
    <mergeCell ref="B1213:D1213"/>
    <mergeCell ref="E1213:F1213"/>
    <mergeCell ref="G1213:I1213"/>
    <mergeCell ref="J1213:L1213"/>
    <mergeCell ref="M1213:N1213"/>
    <mergeCell ref="O1213:P1213"/>
    <mergeCell ref="C1211:D1211"/>
    <mergeCell ref="E1211:F1211"/>
    <mergeCell ref="G1211:I1211"/>
    <mergeCell ref="J1211:K1211"/>
    <mergeCell ref="L1211:P1211"/>
    <mergeCell ref="B1212:P1212"/>
    <mergeCell ref="B1208:P1209"/>
    <mergeCell ref="B1210:D1210"/>
    <mergeCell ref="E1210:F1210"/>
    <mergeCell ref="G1210:I1210"/>
    <mergeCell ref="J1210:L1210"/>
    <mergeCell ref="M1210:N1210"/>
    <mergeCell ref="O1210:P1210"/>
    <mergeCell ref="B1207:C1207"/>
    <mergeCell ref="D1207:E1207"/>
    <mergeCell ref="F1207:G1207"/>
    <mergeCell ref="H1207:J1207"/>
    <mergeCell ref="K1207:N1207"/>
    <mergeCell ref="O1207:P1207"/>
    <mergeCell ref="B1205:D1205"/>
    <mergeCell ref="E1205:H1205"/>
    <mergeCell ref="J1205:P1205"/>
    <mergeCell ref="B1206:D1206"/>
    <mergeCell ref="F1206:G1206"/>
    <mergeCell ref="I1206:J1206"/>
    <mergeCell ref="L1206:M1206"/>
    <mergeCell ref="O1206:P1206"/>
    <mergeCell ref="B1203:D1203"/>
    <mergeCell ref="E1203:J1203"/>
    <mergeCell ref="L1203:P1203"/>
    <mergeCell ref="B1204:D1204"/>
    <mergeCell ref="E1204:I1204"/>
    <mergeCell ref="K1204:L1204"/>
    <mergeCell ref="M1204:N1204"/>
    <mergeCell ref="O1204:P1204"/>
    <mergeCell ref="B1201:D1201"/>
    <mergeCell ref="E1201:G1201"/>
    <mergeCell ref="H1201:I1201"/>
    <mergeCell ref="K1201:M1201"/>
    <mergeCell ref="N1201:P1201"/>
    <mergeCell ref="B1202:D1202"/>
    <mergeCell ref="E1202:I1202"/>
    <mergeCell ref="J1202:K1202"/>
    <mergeCell ref="L1202:P1202"/>
    <mergeCell ref="B1199:P1199"/>
    <mergeCell ref="B1200:D1200"/>
    <mergeCell ref="E1200:G1200"/>
    <mergeCell ref="H1200:I1200"/>
    <mergeCell ref="J1200:L1200"/>
    <mergeCell ref="M1200:N1200"/>
    <mergeCell ref="O1200:P1200"/>
    <mergeCell ref="B1192:G1193"/>
    <mergeCell ref="I1193:P1193"/>
    <mergeCell ref="B1194:E1194"/>
    <mergeCell ref="F1194:L1198"/>
    <mergeCell ref="M1194:P1195"/>
    <mergeCell ref="B1195:E1195"/>
    <mergeCell ref="C1196:E1196"/>
    <mergeCell ref="C1197:E1197"/>
    <mergeCell ref="M1197:P1198"/>
    <mergeCell ref="C1198:E1198"/>
    <mergeCell ref="B1187:P1187"/>
    <mergeCell ref="B1188:B1189"/>
    <mergeCell ref="C1188:I1188"/>
    <mergeCell ref="K1188:M1188"/>
    <mergeCell ref="C1189:I1189"/>
    <mergeCell ref="J1189:P1189"/>
    <mergeCell ref="B1184:I1184"/>
    <mergeCell ref="K1184:P1184"/>
    <mergeCell ref="B1185:I1185"/>
    <mergeCell ref="K1185:P1185"/>
    <mergeCell ref="B1186:I1186"/>
    <mergeCell ref="K1186:P1186"/>
    <mergeCell ref="C1179:D1179"/>
    <mergeCell ref="E1179:F1179"/>
    <mergeCell ref="G1179:I1179"/>
    <mergeCell ref="J1179:K1179"/>
    <mergeCell ref="L1179:P1179"/>
    <mergeCell ref="B1180:I1181"/>
    <mergeCell ref="J1180:P1183"/>
    <mergeCell ref="B1182:I1183"/>
    <mergeCell ref="B1178:D1178"/>
    <mergeCell ref="E1178:F1178"/>
    <mergeCell ref="G1178:I1178"/>
    <mergeCell ref="J1178:L1178"/>
    <mergeCell ref="M1178:N1178"/>
    <mergeCell ref="O1178:P1178"/>
    <mergeCell ref="C1176:D1176"/>
    <mergeCell ref="E1176:F1176"/>
    <mergeCell ref="G1176:I1176"/>
    <mergeCell ref="J1176:K1176"/>
    <mergeCell ref="L1176:P1176"/>
    <mergeCell ref="B1177:P1177"/>
    <mergeCell ref="B1173:P1174"/>
    <mergeCell ref="B1175:D1175"/>
    <mergeCell ref="E1175:F1175"/>
    <mergeCell ref="G1175:I1175"/>
    <mergeCell ref="J1175:L1175"/>
    <mergeCell ref="M1175:N1175"/>
    <mergeCell ref="O1175:P1175"/>
    <mergeCell ref="B1172:C1172"/>
    <mergeCell ref="D1172:E1172"/>
    <mergeCell ref="F1172:G1172"/>
    <mergeCell ref="H1172:J1172"/>
    <mergeCell ref="K1172:N1172"/>
    <mergeCell ref="O1172:P1172"/>
    <mergeCell ref="B1170:D1170"/>
    <mergeCell ref="E1170:H1170"/>
    <mergeCell ref="J1170:P1170"/>
    <mergeCell ref="B1171:D1171"/>
    <mergeCell ref="F1171:G1171"/>
    <mergeCell ref="I1171:J1171"/>
    <mergeCell ref="L1171:M1171"/>
    <mergeCell ref="O1171:P1171"/>
    <mergeCell ref="B1168:D1168"/>
    <mergeCell ref="E1168:J1168"/>
    <mergeCell ref="L1168:P1168"/>
    <mergeCell ref="B1169:D1169"/>
    <mergeCell ref="E1169:I1169"/>
    <mergeCell ref="K1169:L1169"/>
    <mergeCell ref="M1169:N1169"/>
    <mergeCell ref="O1169:P1169"/>
    <mergeCell ref="B1166:D1166"/>
    <mergeCell ref="E1166:G1166"/>
    <mergeCell ref="H1166:I1166"/>
    <mergeCell ref="K1166:M1166"/>
    <mergeCell ref="N1166:P1166"/>
    <mergeCell ref="B1167:D1167"/>
    <mergeCell ref="E1167:I1167"/>
    <mergeCell ref="J1167:K1167"/>
    <mergeCell ref="L1167:P1167"/>
    <mergeCell ref="B1164:P1164"/>
    <mergeCell ref="B1165:D1165"/>
    <mergeCell ref="E1165:G1165"/>
    <mergeCell ref="H1165:I1165"/>
    <mergeCell ref="J1165:L1165"/>
    <mergeCell ref="M1165:N1165"/>
    <mergeCell ref="O1165:P1165"/>
    <mergeCell ref="B1157:G1158"/>
    <mergeCell ref="I1158:P1158"/>
    <mergeCell ref="B1159:E1159"/>
    <mergeCell ref="F1159:L1163"/>
    <mergeCell ref="M1159:P1160"/>
    <mergeCell ref="B1160:E1160"/>
    <mergeCell ref="C1161:E1161"/>
    <mergeCell ref="C1162:E1162"/>
    <mergeCell ref="M1162:P1163"/>
    <mergeCell ref="C1163:E1163"/>
    <mergeCell ref="B1152:P1152"/>
    <mergeCell ref="B1153:B1154"/>
    <mergeCell ref="C1153:I1153"/>
    <mergeCell ref="K1153:M1153"/>
    <mergeCell ref="C1154:I1154"/>
    <mergeCell ref="J1154:P1154"/>
    <mergeCell ref="B1149:I1149"/>
    <mergeCell ref="K1149:P1149"/>
    <mergeCell ref="B1150:I1150"/>
    <mergeCell ref="K1150:P1150"/>
    <mergeCell ref="B1151:I1151"/>
    <mergeCell ref="K1151:P1151"/>
    <mergeCell ref="C1144:D1144"/>
    <mergeCell ref="E1144:F1144"/>
    <mergeCell ref="G1144:I1144"/>
    <mergeCell ref="J1144:K1144"/>
    <mergeCell ref="L1144:P1144"/>
    <mergeCell ref="B1145:I1146"/>
    <mergeCell ref="J1145:P1148"/>
    <mergeCell ref="B1147:I1148"/>
    <mergeCell ref="B1143:D1143"/>
    <mergeCell ref="E1143:F1143"/>
    <mergeCell ref="G1143:I1143"/>
    <mergeCell ref="J1143:L1143"/>
    <mergeCell ref="M1143:N1143"/>
    <mergeCell ref="O1143:P1143"/>
    <mergeCell ref="C1141:D1141"/>
    <mergeCell ref="E1141:F1141"/>
    <mergeCell ref="G1141:I1141"/>
    <mergeCell ref="J1141:K1141"/>
    <mergeCell ref="L1141:P1141"/>
    <mergeCell ref="B1142:P1142"/>
    <mergeCell ref="B1138:P1139"/>
    <mergeCell ref="B1140:D1140"/>
    <mergeCell ref="E1140:F1140"/>
    <mergeCell ref="G1140:I1140"/>
    <mergeCell ref="J1140:L1140"/>
    <mergeCell ref="M1140:N1140"/>
    <mergeCell ref="O1140:P1140"/>
    <mergeCell ref="B1137:C1137"/>
    <mergeCell ref="D1137:E1137"/>
    <mergeCell ref="F1137:G1137"/>
    <mergeCell ref="H1137:J1137"/>
    <mergeCell ref="K1137:N1137"/>
    <mergeCell ref="O1137:P1137"/>
    <mergeCell ref="B1135:D1135"/>
    <mergeCell ref="E1135:H1135"/>
    <mergeCell ref="J1135:P1135"/>
    <mergeCell ref="B1136:D1136"/>
    <mergeCell ref="F1136:G1136"/>
    <mergeCell ref="I1136:J1136"/>
    <mergeCell ref="L1136:M1136"/>
    <mergeCell ref="O1136:P1136"/>
    <mergeCell ref="B1133:D1133"/>
    <mergeCell ref="E1133:J1133"/>
    <mergeCell ref="L1133:P1133"/>
    <mergeCell ref="B1134:D1134"/>
    <mergeCell ref="E1134:I1134"/>
    <mergeCell ref="K1134:L1134"/>
    <mergeCell ref="M1134:N1134"/>
    <mergeCell ref="O1134:P1134"/>
    <mergeCell ref="B1131:D1131"/>
    <mergeCell ref="E1131:G1131"/>
    <mergeCell ref="H1131:I1131"/>
    <mergeCell ref="K1131:M1131"/>
    <mergeCell ref="N1131:P1131"/>
    <mergeCell ref="B1132:D1132"/>
    <mergeCell ref="E1132:I1132"/>
    <mergeCell ref="J1132:K1132"/>
    <mergeCell ref="L1132:P1132"/>
    <mergeCell ref="B1129:P1129"/>
    <mergeCell ref="B1130:D1130"/>
    <mergeCell ref="E1130:G1130"/>
    <mergeCell ref="H1130:I1130"/>
    <mergeCell ref="J1130:L1130"/>
    <mergeCell ref="M1130:N1130"/>
    <mergeCell ref="O1130:P1130"/>
    <mergeCell ref="B1122:G1123"/>
    <mergeCell ref="I1123:P1123"/>
    <mergeCell ref="B1124:E1124"/>
    <mergeCell ref="F1124:L1128"/>
    <mergeCell ref="M1124:P1125"/>
    <mergeCell ref="B1125:E1125"/>
    <mergeCell ref="C1126:E1126"/>
    <mergeCell ref="C1127:E1127"/>
    <mergeCell ref="M1127:P1128"/>
    <mergeCell ref="C1128:E1128"/>
    <mergeCell ref="B1117:P1117"/>
    <mergeCell ref="B1118:B1119"/>
    <mergeCell ref="C1118:I1118"/>
    <mergeCell ref="K1118:M1118"/>
    <mergeCell ref="C1119:I1119"/>
    <mergeCell ref="J1119:P1119"/>
    <mergeCell ref="B1114:I1114"/>
    <mergeCell ref="K1114:P1114"/>
    <mergeCell ref="B1115:I1115"/>
    <mergeCell ref="K1115:P1115"/>
    <mergeCell ref="B1116:I1116"/>
    <mergeCell ref="K1116:P1116"/>
    <mergeCell ref="C1109:D1109"/>
    <mergeCell ref="E1109:F1109"/>
    <mergeCell ref="G1109:I1109"/>
    <mergeCell ref="J1109:K1109"/>
    <mergeCell ref="L1109:P1109"/>
    <mergeCell ref="B1110:I1111"/>
    <mergeCell ref="J1110:P1113"/>
    <mergeCell ref="B1112:I1113"/>
    <mergeCell ref="B1108:D1108"/>
    <mergeCell ref="E1108:F1108"/>
    <mergeCell ref="G1108:I1108"/>
    <mergeCell ref="J1108:L1108"/>
    <mergeCell ref="M1108:N1108"/>
    <mergeCell ref="O1108:P1108"/>
    <mergeCell ref="C1106:D1106"/>
    <mergeCell ref="E1106:F1106"/>
    <mergeCell ref="G1106:I1106"/>
    <mergeCell ref="J1106:K1106"/>
    <mergeCell ref="L1106:P1106"/>
    <mergeCell ref="B1107:P1107"/>
    <mergeCell ref="B1103:P1104"/>
    <mergeCell ref="B1105:D1105"/>
    <mergeCell ref="E1105:F1105"/>
    <mergeCell ref="G1105:I1105"/>
    <mergeCell ref="J1105:L1105"/>
    <mergeCell ref="M1105:N1105"/>
    <mergeCell ref="O1105:P1105"/>
    <mergeCell ref="B1102:C1102"/>
    <mergeCell ref="D1102:E1102"/>
    <mergeCell ref="F1102:G1102"/>
    <mergeCell ref="H1102:J1102"/>
    <mergeCell ref="K1102:N1102"/>
    <mergeCell ref="O1102:P1102"/>
    <mergeCell ref="B1100:D1100"/>
    <mergeCell ref="E1100:H1100"/>
    <mergeCell ref="J1100:P1100"/>
    <mergeCell ref="B1101:D1101"/>
    <mergeCell ref="F1101:G1101"/>
    <mergeCell ref="I1101:J1101"/>
    <mergeCell ref="L1101:M1101"/>
    <mergeCell ref="O1101:P1101"/>
    <mergeCell ref="B1098:D1098"/>
    <mergeCell ref="E1098:J1098"/>
    <mergeCell ref="L1098:P1098"/>
    <mergeCell ref="B1099:D1099"/>
    <mergeCell ref="E1099:I1099"/>
    <mergeCell ref="K1099:L1099"/>
    <mergeCell ref="M1099:N1099"/>
    <mergeCell ref="O1099:P1099"/>
    <mergeCell ref="B1096:D1096"/>
    <mergeCell ref="E1096:G1096"/>
    <mergeCell ref="H1096:I1096"/>
    <mergeCell ref="K1096:M1096"/>
    <mergeCell ref="N1096:P1096"/>
    <mergeCell ref="B1097:D1097"/>
    <mergeCell ref="E1097:I1097"/>
    <mergeCell ref="J1097:K1097"/>
    <mergeCell ref="L1097:P1097"/>
    <mergeCell ref="B1094:P1094"/>
    <mergeCell ref="B1095:D1095"/>
    <mergeCell ref="E1095:G1095"/>
    <mergeCell ref="H1095:I1095"/>
    <mergeCell ref="J1095:L1095"/>
    <mergeCell ref="M1095:N1095"/>
    <mergeCell ref="O1095:P1095"/>
    <mergeCell ref="B1087:G1088"/>
    <mergeCell ref="I1088:P1088"/>
    <mergeCell ref="B1089:E1089"/>
    <mergeCell ref="F1089:L1093"/>
    <mergeCell ref="M1089:P1090"/>
    <mergeCell ref="B1090:E1090"/>
    <mergeCell ref="C1091:E1091"/>
    <mergeCell ref="C1092:E1092"/>
    <mergeCell ref="M1092:P1093"/>
    <mergeCell ref="C1093:E1093"/>
    <mergeCell ref="B1082:P1082"/>
    <mergeCell ref="B1083:B1084"/>
    <mergeCell ref="C1083:I1083"/>
    <mergeCell ref="K1083:M1083"/>
    <mergeCell ref="C1084:I1084"/>
    <mergeCell ref="J1084:P1084"/>
    <mergeCell ref="B1079:I1079"/>
    <mergeCell ref="K1079:P1079"/>
    <mergeCell ref="B1080:I1080"/>
    <mergeCell ref="K1080:P1080"/>
    <mergeCell ref="B1081:I1081"/>
    <mergeCell ref="K1081:P1081"/>
    <mergeCell ref="C1074:D1074"/>
    <mergeCell ref="E1074:F1074"/>
    <mergeCell ref="G1074:I1074"/>
    <mergeCell ref="J1074:K1074"/>
    <mergeCell ref="L1074:P1074"/>
    <mergeCell ref="B1075:I1076"/>
    <mergeCell ref="J1075:P1078"/>
    <mergeCell ref="B1077:I1078"/>
    <mergeCell ref="B1073:D1073"/>
    <mergeCell ref="E1073:F1073"/>
    <mergeCell ref="G1073:I1073"/>
    <mergeCell ref="J1073:L1073"/>
    <mergeCell ref="M1073:N1073"/>
    <mergeCell ref="O1073:P1073"/>
    <mergeCell ref="C1071:D1071"/>
    <mergeCell ref="E1071:F1071"/>
    <mergeCell ref="G1071:I1071"/>
    <mergeCell ref="J1071:K1071"/>
    <mergeCell ref="L1071:P1071"/>
    <mergeCell ref="B1072:P1072"/>
    <mergeCell ref="B1068:P1069"/>
    <mergeCell ref="B1070:D1070"/>
    <mergeCell ref="E1070:F1070"/>
    <mergeCell ref="G1070:I1070"/>
    <mergeCell ref="J1070:L1070"/>
    <mergeCell ref="M1070:N1070"/>
    <mergeCell ref="O1070:P1070"/>
    <mergeCell ref="B1067:C1067"/>
    <mergeCell ref="D1067:E1067"/>
    <mergeCell ref="F1067:G1067"/>
    <mergeCell ref="H1067:J1067"/>
    <mergeCell ref="K1067:N1067"/>
    <mergeCell ref="O1067:P1067"/>
    <mergeCell ref="B1065:D1065"/>
    <mergeCell ref="E1065:H1065"/>
    <mergeCell ref="J1065:P1065"/>
    <mergeCell ref="B1066:D1066"/>
    <mergeCell ref="F1066:G1066"/>
    <mergeCell ref="I1066:J1066"/>
    <mergeCell ref="L1066:M1066"/>
    <mergeCell ref="O1066:P1066"/>
    <mergeCell ref="B1063:D1063"/>
    <mergeCell ref="E1063:J1063"/>
    <mergeCell ref="L1063:P1063"/>
    <mergeCell ref="B1064:D1064"/>
    <mergeCell ref="E1064:I1064"/>
    <mergeCell ref="K1064:L1064"/>
    <mergeCell ref="M1064:N1064"/>
    <mergeCell ref="O1064:P1064"/>
    <mergeCell ref="B1061:D1061"/>
    <mergeCell ref="E1061:G1061"/>
    <mergeCell ref="H1061:I1061"/>
    <mergeCell ref="K1061:M1061"/>
    <mergeCell ref="N1061:P1061"/>
    <mergeCell ref="B1062:D1062"/>
    <mergeCell ref="E1062:I1062"/>
    <mergeCell ref="J1062:K1062"/>
    <mergeCell ref="L1062:P1062"/>
    <mergeCell ref="C1058:E1058"/>
    <mergeCell ref="B1059:P1059"/>
    <mergeCell ref="B1060:D1060"/>
    <mergeCell ref="E1060:G1060"/>
    <mergeCell ref="H1060:I1060"/>
    <mergeCell ref="J1060:L1060"/>
    <mergeCell ref="M1060:N1060"/>
    <mergeCell ref="O1060:P1060"/>
    <mergeCell ref="B1050:P1050"/>
    <mergeCell ref="B1052:G1053"/>
    <mergeCell ref="I1053:P1053"/>
    <mergeCell ref="B1054:E1054"/>
    <mergeCell ref="F1054:L1058"/>
    <mergeCell ref="M1054:P1055"/>
    <mergeCell ref="B1055:E1055"/>
    <mergeCell ref="C1056:E1056"/>
    <mergeCell ref="C1057:E1057"/>
    <mergeCell ref="M1057:P1058"/>
    <mergeCell ref="B1047:P1047"/>
    <mergeCell ref="B1048:B1049"/>
    <mergeCell ref="C1048:I1048"/>
    <mergeCell ref="K1048:M1048"/>
    <mergeCell ref="C1049:I1049"/>
    <mergeCell ref="J1049:P1049"/>
    <mergeCell ref="B1044:I1044"/>
    <mergeCell ref="K1044:P1044"/>
    <mergeCell ref="B1045:I1045"/>
    <mergeCell ref="K1045:P1045"/>
    <mergeCell ref="B1046:I1046"/>
    <mergeCell ref="K1046:P1046"/>
    <mergeCell ref="C1039:D1039"/>
    <mergeCell ref="E1039:F1039"/>
    <mergeCell ref="G1039:I1039"/>
    <mergeCell ref="J1039:K1039"/>
    <mergeCell ref="L1039:P1039"/>
    <mergeCell ref="B1040:I1041"/>
    <mergeCell ref="J1040:P1043"/>
    <mergeCell ref="B1042:I1043"/>
    <mergeCell ref="B1038:D1038"/>
    <mergeCell ref="E1038:F1038"/>
    <mergeCell ref="G1038:I1038"/>
    <mergeCell ref="J1038:L1038"/>
    <mergeCell ref="M1038:N1038"/>
    <mergeCell ref="O1038:P1038"/>
    <mergeCell ref="C1036:D1036"/>
    <mergeCell ref="E1036:F1036"/>
    <mergeCell ref="G1036:I1036"/>
    <mergeCell ref="J1036:K1036"/>
    <mergeCell ref="L1036:P1036"/>
    <mergeCell ref="B1037:P1037"/>
    <mergeCell ref="B1033:P1034"/>
    <mergeCell ref="B1035:D1035"/>
    <mergeCell ref="E1035:F1035"/>
    <mergeCell ref="G1035:I1035"/>
    <mergeCell ref="J1035:L1035"/>
    <mergeCell ref="M1035:N1035"/>
    <mergeCell ref="O1035:P1035"/>
    <mergeCell ref="B1032:C1032"/>
    <mergeCell ref="D1032:E1032"/>
    <mergeCell ref="F1032:G1032"/>
    <mergeCell ref="H1032:J1032"/>
    <mergeCell ref="K1032:N1032"/>
    <mergeCell ref="O1032:P1032"/>
    <mergeCell ref="B1030:D1030"/>
    <mergeCell ref="E1030:H1030"/>
    <mergeCell ref="J1030:P1030"/>
    <mergeCell ref="B1031:D1031"/>
    <mergeCell ref="F1031:G1031"/>
    <mergeCell ref="I1031:J1031"/>
    <mergeCell ref="L1031:M1031"/>
    <mergeCell ref="O1031:P1031"/>
    <mergeCell ref="B1028:D1028"/>
    <mergeCell ref="E1028:J1028"/>
    <mergeCell ref="L1028:P1028"/>
    <mergeCell ref="B1029:D1029"/>
    <mergeCell ref="E1029:I1029"/>
    <mergeCell ref="K1029:L1029"/>
    <mergeCell ref="M1029:N1029"/>
    <mergeCell ref="O1029:P1029"/>
    <mergeCell ref="B1026:D1026"/>
    <mergeCell ref="E1026:G1026"/>
    <mergeCell ref="H1026:I1026"/>
    <mergeCell ref="K1026:M1026"/>
    <mergeCell ref="N1026:P1026"/>
    <mergeCell ref="B1027:D1027"/>
    <mergeCell ref="E1027:I1027"/>
    <mergeCell ref="J1027:K1027"/>
    <mergeCell ref="L1027:P1027"/>
    <mergeCell ref="C1023:E1023"/>
    <mergeCell ref="B1024:P1024"/>
    <mergeCell ref="B1025:D1025"/>
    <mergeCell ref="E1025:G1025"/>
    <mergeCell ref="H1025:I1025"/>
    <mergeCell ref="J1025:L1025"/>
    <mergeCell ref="M1025:N1025"/>
    <mergeCell ref="O1025:P1025"/>
    <mergeCell ref="B1015:P1015"/>
    <mergeCell ref="B1017:G1018"/>
    <mergeCell ref="I1018:P1018"/>
    <mergeCell ref="B1019:E1019"/>
    <mergeCell ref="F1019:L1023"/>
    <mergeCell ref="M1019:P1020"/>
    <mergeCell ref="B1020:E1020"/>
    <mergeCell ref="C1021:E1021"/>
    <mergeCell ref="C1022:E1022"/>
    <mergeCell ref="M1022:P1023"/>
    <mergeCell ref="B1012:P1012"/>
    <mergeCell ref="B1013:B1014"/>
    <mergeCell ref="C1013:I1013"/>
    <mergeCell ref="K1013:M1013"/>
    <mergeCell ref="C1014:I1014"/>
    <mergeCell ref="J1014:P1014"/>
    <mergeCell ref="B1009:I1009"/>
    <mergeCell ref="K1009:P1009"/>
    <mergeCell ref="B1010:I1010"/>
    <mergeCell ref="K1010:P1010"/>
    <mergeCell ref="B1011:I1011"/>
    <mergeCell ref="K1011:P1011"/>
    <mergeCell ref="C1004:D1004"/>
    <mergeCell ref="E1004:F1004"/>
    <mergeCell ref="G1004:I1004"/>
    <mergeCell ref="J1004:K1004"/>
    <mergeCell ref="L1004:P1004"/>
    <mergeCell ref="B1005:I1006"/>
    <mergeCell ref="J1005:P1008"/>
    <mergeCell ref="B1007:I1008"/>
    <mergeCell ref="B1003:D1003"/>
    <mergeCell ref="E1003:F1003"/>
    <mergeCell ref="G1003:I1003"/>
    <mergeCell ref="J1003:L1003"/>
    <mergeCell ref="M1003:N1003"/>
    <mergeCell ref="O1003:P1003"/>
    <mergeCell ref="C1001:D1001"/>
    <mergeCell ref="E1001:F1001"/>
    <mergeCell ref="G1001:I1001"/>
    <mergeCell ref="J1001:K1001"/>
    <mergeCell ref="L1001:P1001"/>
    <mergeCell ref="B1002:P1002"/>
    <mergeCell ref="B998:P999"/>
    <mergeCell ref="B1000:D1000"/>
    <mergeCell ref="E1000:F1000"/>
    <mergeCell ref="G1000:I1000"/>
    <mergeCell ref="J1000:L1000"/>
    <mergeCell ref="M1000:N1000"/>
    <mergeCell ref="O1000:P1000"/>
    <mergeCell ref="B997:C997"/>
    <mergeCell ref="D997:E997"/>
    <mergeCell ref="F997:G997"/>
    <mergeCell ref="H997:J997"/>
    <mergeCell ref="K997:N997"/>
    <mergeCell ref="O997:P997"/>
    <mergeCell ref="B995:D995"/>
    <mergeCell ref="E995:H995"/>
    <mergeCell ref="J995:P995"/>
    <mergeCell ref="B996:D996"/>
    <mergeCell ref="F996:G996"/>
    <mergeCell ref="I996:J996"/>
    <mergeCell ref="L996:M996"/>
    <mergeCell ref="O996:P996"/>
    <mergeCell ref="B993:D993"/>
    <mergeCell ref="E993:J993"/>
    <mergeCell ref="L993:P993"/>
    <mergeCell ref="B994:D994"/>
    <mergeCell ref="E994:I994"/>
    <mergeCell ref="K994:L994"/>
    <mergeCell ref="M994:N994"/>
    <mergeCell ref="O994:P994"/>
    <mergeCell ref="B991:D991"/>
    <mergeCell ref="E991:G991"/>
    <mergeCell ref="H991:I991"/>
    <mergeCell ref="K991:M991"/>
    <mergeCell ref="N991:P991"/>
    <mergeCell ref="B992:D992"/>
    <mergeCell ref="E992:I992"/>
    <mergeCell ref="J992:K992"/>
    <mergeCell ref="L992:P992"/>
    <mergeCell ref="C988:E988"/>
    <mergeCell ref="B989:P989"/>
    <mergeCell ref="B990:D990"/>
    <mergeCell ref="E990:G990"/>
    <mergeCell ref="H990:I990"/>
    <mergeCell ref="J990:L990"/>
    <mergeCell ref="M990:N990"/>
    <mergeCell ref="O990:P990"/>
    <mergeCell ref="B980:P980"/>
    <mergeCell ref="B982:G983"/>
    <mergeCell ref="I983:P983"/>
    <mergeCell ref="B984:E984"/>
    <mergeCell ref="F984:L988"/>
    <mergeCell ref="M984:P985"/>
    <mergeCell ref="B985:E985"/>
    <mergeCell ref="C986:E986"/>
    <mergeCell ref="C987:E987"/>
    <mergeCell ref="M987:P988"/>
    <mergeCell ref="B977:P977"/>
    <mergeCell ref="B978:B979"/>
    <mergeCell ref="C978:I978"/>
    <mergeCell ref="K978:M978"/>
    <mergeCell ref="C979:I979"/>
    <mergeCell ref="J979:P979"/>
    <mergeCell ref="B974:I974"/>
    <mergeCell ref="K974:P974"/>
    <mergeCell ref="B975:I975"/>
    <mergeCell ref="K975:P975"/>
    <mergeCell ref="B976:I976"/>
    <mergeCell ref="K976:P976"/>
    <mergeCell ref="C969:D969"/>
    <mergeCell ref="E969:F969"/>
    <mergeCell ref="G969:I969"/>
    <mergeCell ref="J969:K969"/>
    <mergeCell ref="L969:P969"/>
    <mergeCell ref="B970:I971"/>
    <mergeCell ref="J970:P973"/>
    <mergeCell ref="B972:I973"/>
    <mergeCell ref="B968:D968"/>
    <mergeCell ref="E968:F968"/>
    <mergeCell ref="G968:I968"/>
    <mergeCell ref="J968:L968"/>
    <mergeCell ref="M968:N968"/>
    <mergeCell ref="O968:P968"/>
    <mergeCell ref="C966:D966"/>
    <mergeCell ref="E966:F966"/>
    <mergeCell ref="G966:I966"/>
    <mergeCell ref="J966:K966"/>
    <mergeCell ref="L966:P966"/>
    <mergeCell ref="B967:P967"/>
    <mergeCell ref="B963:P964"/>
    <mergeCell ref="B965:D965"/>
    <mergeCell ref="E965:F965"/>
    <mergeCell ref="G965:I965"/>
    <mergeCell ref="J965:L965"/>
    <mergeCell ref="M965:N965"/>
    <mergeCell ref="O965:P965"/>
    <mergeCell ref="B962:C962"/>
    <mergeCell ref="D962:E962"/>
    <mergeCell ref="F962:G962"/>
    <mergeCell ref="H962:J962"/>
    <mergeCell ref="K962:N962"/>
    <mergeCell ref="O962:P962"/>
    <mergeCell ref="B960:D960"/>
    <mergeCell ref="E960:H960"/>
    <mergeCell ref="J960:P960"/>
    <mergeCell ref="B961:D961"/>
    <mergeCell ref="F961:G961"/>
    <mergeCell ref="I961:J961"/>
    <mergeCell ref="L961:M961"/>
    <mergeCell ref="O961:P961"/>
    <mergeCell ref="B958:D958"/>
    <mergeCell ref="E958:J958"/>
    <mergeCell ref="L958:P958"/>
    <mergeCell ref="B959:D959"/>
    <mergeCell ref="E959:I959"/>
    <mergeCell ref="K959:L959"/>
    <mergeCell ref="M959:N959"/>
    <mergeCell ref="O959:P959"/>
    <mergeCell ref="B956:D956"/>
    <mergeCell ref="E956:G956"/>
    <mergeCell ref="H956:I956"/>
    <mergeCell ref="K956:M956"/>
    <mergeCell ref="N956:P956"/>
    <mergeCell ref="B957:D957"/>
    <mergeCell ref="E957:I957"/>
    <mergeCell ref="J957:K957"/>
    <mergeCell ref="L957:P957"/>
    <mergeCell ref="C953:E953"/>
    <mergeCell ref="B954:P954"/>
    <mergeCell ref="B955:D955"/>
    <mergeCell ref="E955:G955"/>
    <mergeCell ref="H955:I955"/>
    <mergeCell ref="J955:L955"/>
    <mergeCell ref="M955:N955"/>
    <mergeCell ref="O955:P955"/>
    <mergeCell ref="B945:P945"/>
    <mergeCell ref="B947:G948"/>
    <mergeCell ref="I948:P948"/>
    <mergeCell ref="B949:E949"/>
    <mergeCell ref="F949:L953"/>
    <mergeCell ref="M949:P950"/>
    <mergeCell ref="B950:E950"/>
    <mergeCell ref="C951:E951"/>
    <mergeCell ref="C952:E952"/>
    <mergeCell ref="M952:P953"/>
    <mergeCell ref="B942:P942"/>
    <mergeCell ref="B943:B944"/>
    <mergeCell ref="C943:I943"/>
    <mergeCell ref="K943:M943"/>
    <mergeCell ref="C944:I944"/>
    <mergeCell ref="J944:P944"/>
    <mergeCell ref="B939:I939"/>
    <mergeCell ref="K939:P939"/>
    <mergeCell ref="B940:I940"/>
    <mergeCell ref="K940:P940"/>
    <mergeCell ref="B941:I941"/>
    <mergeCell ref="K941:P941"/>
    <mergeCell ref="C934:D934"/>
    <mergeCell ref="E934:F934"/>
    <mergeCell ref="G934:I934"/>
    <mergeCell ref="J934:K934"/>
    <mergeCell ref="L934:P934"/>
    <mergeCell ref="B935:I936"/>
    <mergeCell ref="J935:P938"/>
    <mergeCell ref="B937:I938"/>
    <mergeCell ref="B933:D933"/>
    <mergeCell ref="E933:F933"/>
    <mergeCell ref="G933:I933"/>
    <mergeCell ref="J933:L933"/>
    <mergeCell ref="M933:N933"/>
    <mergeCell ref="O933:P933"/>
    <mergeCell ref="C931:D931"/>
    <mergeCell ref="E931:F931"/>
    <mergeCell ref="G931:I931"/>
    <mergeCell ref="J931:K931"/>
    <mergeCell ref="L931:P931"/>
    <mergeCell ref="B932:P932"/>
    <mergeCell ref="B928:P929"/>
    <mergeCell ref="B930:D930"/>
    <mergeCell ref="E930:F930"/>
    <mergeCell ref="G930:I930"/>
    <mergeCell ref="J930:L930"/>
    <mergeCell ref="M930:N930"/>
    <mergeCell ref="O930:P930"/>
    <mergeCell ref="B927:C927"/>
    <mergeCell ref="D927:E927"/>
    <mergeCell ref="F927:G927"/>
    <mergeCell ref="H927:J927"/>
    <mergeCell ref="K927:N927"/>
    <mergeCell ref="O927:P927"/>
    <mergeCell ref="B925:D925"/>
    <mergeCell ref="E925:H925"/>
    <mergeCell ref="J925:P925"/>
    <mergeCell ref="B926:D926"/>
    <mergeCell ref="F926:G926"/>
    <mergeCell ref="I926:J926"/>
    <mergeCell ref="L926:M926"/>
    <mergeCell ref="O926:P926"/>
    <mergeCell ref="B923:D923"/>
    <mergeCell ref="E923:J923"/>
    <mergeCell ref="L923:P923"/>
    <mergeCell ref="B924:D924"/>
    <mergeCell ref="E924:I924"/>
    <mergeCell ref="K924:L924"/>
    <mergeCell ref="M924:N924"/>
    <mergeCell ref="O924:P924"/>
    <mergeCell ref="B921:D921"/>
    <mergeCell ref="E921:G921"/>
    <mergeCell ref="H921:I921"/>
    <mergeCell ref="K921:M921"/>
    <mergeCell ref="N921:P921"/>
    <mergeCell ref="B922:D922"/>
    <mergeCell ref="E922:I922"/>
    <mergeCell ref="J922:K922"/>
    <mergeCell ref="L922:P922"/>
    <mergeCell ref="C918:E918"/>
    <mergeCell ref="B919:P919"/>
    <mergeCell ref="B920:D920"/>
    <mergeCell ref="E920:G920"/>
    <mergeCell ref="H920:I920"/>
    <mergeCell ref="J920:L920"/>
    <mergeCell ref="M920:N920"/>
    <mergeCell ref="O920:P920"/>
    <mergeCell ref="B910:P910"/>
    <mergeCell ref="B912:G913"/>
    <mergeCell ref="I913:P913"/>
    <mergeCell ref="B914:E914"/>
    <mergeCell ref="F914:L918"/>
    <mergeCell ref="M914:P915"/>
    <mergeCell ref="B915:E915"/>
    <mergeCell ref="C916:E916"/>
    <mergeCell ref="C917:E917"/>
    <mergeCell ref="M917:P918"/>
    <mergeCell ref="B907:P907"/>
    <mergeCell ref="B908:B909"/>
    <mergeCell ref="C908:I908"/>
    <mergeCell ref="K908:M908"/>
    <mergeCell ref="C909:I909"/>
    <mergeCell ref="J909:P909"/>
    <mergeCell ref="B904:I904"/>
    <mergeCell ref="K904:P904"/>
    <mergeCell ref="B905:I905"/>
    <mergeCell ref="K905:P905"/>
    <mergeCell ref="B906:I906"/>
    <mergeCell ref="K906:P906"/>
    <mergeCell ref="C899:D899"/>
    <mergeCell ref="E899:F899"/>
    <mergeCell ref="G899:I899"/>
    <mergeCell ref="J899:K899"/>
    <mergeCell ref="L899:P899"/>
    <mergeCell ref="B900:I901"/>
    <mergeCell ref="J900:P903"/>
    <mergeCell ref="B902:I903"/>
    <mergeCell ref="B898:D898"/>
    <mergeCell ref="E898:F898"/>
    <mergeCell ref="G898:I898"/>
    <mergeCell ref="J898:L898"/>
    <mergeCell ref="M898:N898"/>
    <mergeCell ref="O898:P898"/>
    <mergeCell ref="C896:D896"/>
    <mergeCell ref="E896:F896"/>
    <mergeCell ref="G896:I896"/>
    <mergeCell ref="J896:K896"/>
    <mergeCell ref="L896:P896"/>
    <mergeCell ref="B897:P897"/>
    <mergeCell ref="B893:P894"/>
    <mergeCell ref="B895:D895"/>
    <mergeCell ref="E895:F895"/>
    <mergeCell ref="G895:I895"/>
    <mergeCell ref="J895:L895"/>
    <mergeCell ref="M895:N895"/>
    <mergeCell ref="O895:P895"/>
    <mergeCell ref="B892:C892"/>
    <mergeCell ref="D892:E892"/>
    <mergeCell ref="F892:G892"/>
    <mergeCell ref="H892:J892"/>
    <mergeCell ref="K892:N892"/>
    <mergeCell ref="O892:P892"/>
    <mergeCell ref="B890:D890"/>
    <mergeCell ref="E890:H890"/>
    <mergeCell ref="J890:P890"/>
    <mergeCell ref="B891:D891"/>
    <mergeCell ref="F891:G891"/>
    <mergeCell ref="I891:J891"/>
    <mergeCell ref="L891:M891"/>
    <mergeCell ref="O891:P891"/>
    <mergeCell ref="B888:D888"/>
    <mergeCell ref="E888:J888"/>
    <mergeCell ref="L888:P888"/>
    <mergeCell ref="B889:D889"/>
    <mergeCell ref="E889:I889"/>
    <mergeCell ref="K889:L889"/>
    <mergeCell ref="M889:N889"/>
    <mergeCell ref="O889:P889"/>
    <mergeCell ref="B886:D886"/>
    <mergeCell ref="E886:G886"/>
    <mergeCell ref="H886:I886"/>
    <mergeCell ref="K886:M886"/>
    <mergeCell ref="N886:P886"/>
    <mergeCell ref="B887:D887"/>
    <mergeCell ref="E887:I887"/>
    <mergeCell ref="J887:K887"/>
    <mergeCell ref="L887:P887"/>
    <mergeCell ref="C883:E883"/>
    <mergeCell ref="B884:P884"/>
    <mergeCell ref="B885:D885"/>
    <mergeCell ref="E885:G885"/>
    <mergeCell ref="H885:I885"/>
    <mergeCell ref="J885:L885"/>
    <mergeCell ref="M885:N885"/>
    <mergeCell ref="O885:P885"/>
    <mergeCell ref="B875:P875"/>
    <mergeCell ref="B877:G878"/>
    <mergeCell ref="I878:P878"/>
    <mergeCell ref="B879:E879"/>
    <mergeCell ref="F879:L883"/>
    <mergeCell ref="M879:P880"/>
    <mergeCell ref="B880:E880"/>
    <mergeCell ref="C881:E881"/>
    <mergeCell ref="C882:E882"/>
    <mergeCell ref="M882:P883"/>
    <mergeCell ref="B872:P872"/>
    <mergeCell ref="B873:B874"/>
    <mergeCell ref="C873:I873"/>
    <mergeCell ref="K873:M873"/>
    <mergeCell ref="C874:I874"/>
    <mergeCell ref="J874:P874"/>
    <mergeCell ref="B869:I869"/>
    <mergeCell ref="K869:P869"/>
    <mergeCell ref="B870:I870"/>
    <mergeCell ref="K870:P870"/>
    <mergeCell ref="B871:I871"/>
    <mergeCell ref="K871:P871"/>
    <mergeCell ref="C864:D864"/>
    <mergeCell ref="E864:F864"/>
    <mergeCell ref="G864:I864"/>
    <mergeCell ref="J864:K864"/>
    <mergeCell ref="L864:P864"/>
    <mergeCell ref="B865:I866"/>
    <mergeCell ref="J865:P868"/>
    <mergeCell ref="B867:I868"/>
    <mergeCell ref="B863:D863"/>
    <mergeCell ref="E863:F863"/>
    <mergeCell ref="G863:I863"/>
    <mergeCell ref="J863:L863"/>
    <mergeCell ref="M863:N863"/>
    <mergeCell ref="O863:P863"/>
    <mergeCell ref="C861:D861"/>
    <mergeCell ref="E861:F861"/>
    <mergeCell ref="G861:I861"/>
    <mergeCell ref="J861:K861"/>
    <mergeCell ref="L861:P861"/>
    <mergeCell ref="B862:P862"/>
    <mergeCell ref="B858:P859"/>
    <mergeCell ref="B860:D860"/>
    <mergeCell ref="E860:F860"/>
    <mergeCell ref="G860:I860"/>
    <mergeCell ref="J860:L860"/>
    <mergeCell ref="M860:N860"/>
    <mergeCell ref="O860:P860"/>
    <mergeCell ref="B857:C857"/>
    <mergeCell ref="D857:E857"/>
    <mergeCell ref="F857:G857"/>
    <mergeCell ref="H857:J857"/>
    <mergeCell ref="K857:N857"/>
    <mergeCell ref="O857:P857"/>
    <mergeCell ref="B855:D855"/>
    <mergeCell ref="E855:H855"/>
    <mergeCell ref="J855:P855"/>
    <mergeCell ref="B856:D856"/>
    <mergeCell ref="F856:G856"/>
    <mergeCell ref="I856:J856"/>
    <mergeCell ref="L856:M856"/>
    <mergeCell ref="O856:P856"/>
    <mergeCell ref="B853:D853"/>
    <mergeCell ref="E853:J853"/>
    <mergeCell ref="L853:P853"/>
    <mergeCell ref="B854:D854"/>
    <mergeCell ref="E854:I854"/>
    <mergeCell ref="K854:L854"/>
    <mergeCell ref="M854:N854"/>
    <mergeCell ref="O854:P854"/>
    <mergeCell ref="B851:D851"/>
    <mergeCell ref="E851:G851"/>
    <mergeCell ref="H851:I851"/>
    <mergeCell ref="K851:M851"/>
    <mergeCell ref="N851:P851"/>
    <mergeCell ref="B852:D852"/>
    <mergeCell ref="E852:I852"/>
    <mergeCell ref="J852:K852"/>
    <mergeCell ref="L852:P852"/>
    <mergeCell ref="C848:E848"/>
    <mergeCell ref="B849:P849"/>
    <mergeCell ref="B850:D850"/>
    <mergeCell ref="E850:G850"/>
    <mergeCell ref="H850:I850"/>
    <mergeCell ref="J850:L850"/>
    <mergeCell ref="M850:N850"/>
    <mergeCell ref="O850:P850"/>
    <mergeCell ref="B840:P840"/>
    <mergeCell ref="B842:G843"/>
    <mergeCell ref="I843:P843"/>
    <mergeCell ref="B844:E844"/>
    <mergeCell ref="F844:L848"/>
    <mergeCell ref="M844:P845"/>
    <mergeCell ref="B845:E845"/>
    <mergeCell ref="C846:E846"/>
    <mergeCell ref="C847:E847"/>
    <mergeCell ref="M847:P848"/>
    <mergeCell ref="B837:P837"/>
    <mergeCell ref="B838:B839"/>
    <mergeCell ref="C838:I838"/>
    <mergeCell ref="K838:M838"/>
    <mergeCell ref="C839:I839"/>
    <mergeCell ref="J839:P839"/>
    <mergeCell ref="B834:I834"/>
    <mergeCell ref="K834:P834"/>
    <mergeCell ref="B835:I835"/>
    <mergeCell ref="K835:P835"/>
    <mergeCell ref="B836:I836"/>
    <mergeCell ref="K836:P836"/>
    <mergeCell ref="C829:D829"/>
    <mergeCell ref="E829:F829"/>
    <mergeCell ref="G829:I829"/>
    <mergeCell ref="J829:K829"/>
    <mergeCell ref="L829:P829"/>
    <mergeCell ref="B830:I831"/>
    <mergeCell ref="J830:P833"/>
    <mergeCell ref="B832:I833"/>
    <mergeCell ref="B828:D828"/>
    <mergeCell ref="E828:F828"/>
    <mergeCell ref="G828:I828"/>
    <mergeCell ref="J828:L828"/>
    <mergeCell ref="M828:N828"/>
    <mergeCell ref="O828:P828"/>
    <mergeCell ref="C826:D826"/>
    <mergeCell ref="E826:F826"/>
    <mergeCell ref="G826:I826"/>
    <mergeCell ref="J826:K826"/>
    <mergeCell ref="L826:P826"/>
    <mergeCell ref="B827:P827"/>
    <mergeCell ref="B823:P824"/>
    <mergeCell ref="B825:D825"/>
    <mergeCell ref="E825:F825"/>
    <mergeCell ref="G825:I825"/>
    <mergeCell ref="J825:L825"/>
    <mergeCell ref="M825:N825"/>
    <mergeCell ref="O825:P825"/>
    <mergeCell ref="B822:C822"/>
    <mergeCell ref="D822:E822"/>
    <mergeCell ref="F822:G822"/>
    <mergeCell ref="H822:J822"/>
    <mergeCell ref="K822:N822"/>
    <mergeCell ref="O822:P822"/>
    <mergeCell ref="B820:D820"/>
    <mergeCell ref="E820:H820"/>
    <mergeCell ref="J820:P820"/>
    <mergeCell ref="B821:D821"/>
    <mergeCell ref="F821:G821"/>
    <mergeCell ref="I821:J821"/>
    <mergeCell ref="L821:M821"/>
    <mergeCell ref="O821:P821"/>
    <mergeCell ref="B818:D818"/>
    <mergeCell ref="E818:J818"/>
    <mergeCell ref="L818:P818"/>
    <mergeCell ref="B819:D819"/>
    <mergeCell ref="E819:I819"/>
    <mergeCell ref="K819:L819"/>
    <mergeCell ref="M819:N819"/>
    <mergeCell ref="O819:P819"/>
    <mergeCell ref="B816:D816"/>
    <mergeCell ref="E816:G816"/>
    <mergeCell ref="H816:I816"/>
    <mergeCell ref="K816:M816"/>
    <mergeCell ref="N816:P816"/>
    <mergeCell ref="B817:D817"/>
    <mergeCell ref="E817:I817"/>
    <mergeCell ref="J817:K817"/>
    <mergeCell ref="L817:P817"/>
    <mergeCell ref="C813:E813"/>
    <mergeCell ref="B814:P814"/>
    <mergeCell ref="B815:D815"/>
    <mergeCell ref="E815:G815"/>
    <mergeCell ref="H815:I815"/>
    <mergeCell ref="J815:L815"/>
    <mergeCell ref="M815:N815"/>
    <mergeCell ref="O815:P815"/>
    <mergeCell ref="B805:P805"/>
    <mergeCell ref="B807:G808"/>
    <mergeCell ref="I808:P808"/>
    <mergeCell ref="B809:E809"/>
    <mergeCell ref="F809:L813"/>
    <mergeCell ref="M809:P810"/>
    <mergeCell ref="B810:E810"/>
    <mergeCell ref="C811:E811"/>
    <mergeCell ref="C812:E812"/>
    <mergeCell ref="M812:P813"/>
    <mergeCell ref="B802:P802"/>
    <mergeCell ref="B803:B804"/>
    <mergeCell ref="C803:I803"/>
    <mergeCell ref="K803:M803"/>
    <mergeCell ref="C804:I804"/>
    <mergeCell ref="J804:P804"/>
    <mergeCell ref="B799:I799"/>
    <mergeCell ref="K799:P799"/>
    <mergeCell ref="B800:I800"/>
    <mergeCell ref="K800:P800"/>
    <mergeCell ref="B801:I801"/>
    <mergeCell ref="K801:P801"/>
    <mergeCell ref="C794:D794"/>
    <mergeCell ref="E794:F794"/>
    <mergeCell ref="G794:I794"/>
    <mergeCell ref="J794:K794"/>
    <mergeCell ref="L794:P794"/>
    <mergeCell ref="B795:I796"/>
    <mergeCell ref="J795:P798"/>
    <mergeCell ref="B797:I798"/>
    <mergeCell ref="B793:D793"/>
    <mergeCell ref="E793:F793"/>
    <mergeCell ref="G793:I793"/>
    <mergeCell ref="J793:L793"/>
    <mergeCell ref="M793:N793"/>
    <mergeCell ref="O793:P793"/>
    <mergeCell ref="C791:D791"/>
    <mergeCell ref="E791:F791"/>
    <mergeCell ref="G791:I791"/>
    <mergeCell ref="J791:K791"/>
    <mergeCell ref="L791:P791"/>
    <mergeCell ref="B792:P792"/>
    <mergeCell ref="B788:P789"/>
    <mergeCell ref="B790:D790"/>
    <mergeCell ref="E790:F790"/>
    <mergeCell ref="G790:I790"/>
    <mergeCell ref="J790:L790"/>
    <mergeCell ref="M790:N790"/>
    <mergeCell ref="O790:P790"/>
    <mergeCell ref="B787:C787"/>
    <mergeCell ref="D787:E787"/>
    <mergeCell ref="F787:G787"/>
    <mergeCell ref="H787:J787"/>
    <mergeCell ref="K787:N787"/>
    <mergeCell ref="O787:P787"/>
    <mergeCell ref="B785:D785"/>
    <mergeCell ref="E785:H785"/>
    <mergeCell ref="J785:P785"/>
    <mergeCell ref="B786:D786"/>
    <mergeCell ref="F786:G786"/>
    <mergeCell ref="I786:J786"/>
    <mergeCell ref="L786:M786"/>
    <mergeCell ref="O786:P786"/>
    <mergeCell ref="B783:D783"/>
    <mergeCell ref="E783:J783"/>
    <mergeCell ref="L783:P783"/>
    <mergeCell ref="B784:D784"/>
    <mergeCell ref="E784:I784"/>
    <mergeCell ref="K784:L784"/>
    <mergeCell ref="M784:N784"/>
    <mergeCell ref="O784:P784"/>
    <mergeCell ref="B781:D781"/>
    <mergeCell ref="E781:G781"/>
    <mergeCell ref="H781:I781"/>
    <mergeCell ref="K781:M781"/>
    <mergeCell ref="N781:P781"/>
    <mergeCell ref="B782:D782"/>
    <mergeCell ref="E782:I782"/>
    <mergeCell ref="J782:K782"/>
    <mergeCell ref="L782:P782"/>
    <mergeCell ref="C778:E778"/>
    <mergeCell ref="B779:P779"/>
    <mergeCell ref="B780:D780"/>
    <mergeCell ref="E780:G780"/>
    <mergeCell ref="H780:I780"/>
    <mergeCell ref="J780:L780"/>
    <mergeCell ref="M780:N780"/>
    <mergeCell ref="O780:P780"/>
    <mergeCell ref="B770:P770"/>
    <mergeCell ref="B772:G773"/>
    <mergeCell ref="I773:P773"/>
    <mergeCell ref="B774:E774"/>
    <mergeCell ref="F774:L778"/>
    <mergeCell ref="M774:P775"/>
    <mergeCell ref="B775:E775"/>
    <mergeCell ref="C776:E776"/>
    <mergeCell ref="C777:E777"/>
    <mergeCell ref="M777:P778"/>
    <mergeCell ref="B767:P767"/>
    <mergeCell ref="B768:B769"/>
    <mergeCell ref="C768:I768"/>
    <mergeCell ref="K768:M768"/>
    <mergeCell ref="C769:I769"/>
    <mergeCell ref="J769:P769"/>
    <mergeCell ref="B764:I764"/>
    <mergeCell ref="K764:P764"/>
    <mergeCell ref="B765:I765"/>
    <mergeCell ref="K765:P765"/>
    <mergeCell ref="B766:I766"/>
    <mergeCell ref="K766:P766"/>
    <mergeCell ref="C759:D759"/>
    <mergeCell ref="E759:F759"/>
    <mergeCell ref="G759:I759"/>
    <mergeCell ref="J759:K759"/>
    <mergeCell ref="L759:P759"/>
    <mergeCell ref="B760:I761"/>
    <mergeCell ref="J760:P763"/>
    <mergeCell ref="B762:I763"/>
    <mergeCell ref="B758:D758"/>
    <mergeCell ref="E758:F758"/>
    <mergeCell ref="G758:I758"/>
    <mergeCell ref="J758:L758"/>
    <mergeCell ref="M758:N758"/>
    <mergeCell ref="O758:P758"/>
    <mergeCell ref="C756:D756"/>
    <mergeCell ref="E756:F756"/>
    <mergeCell ref="G756:I756"/>
    <mergeCell ref="J756:K756"/>
    <mergeCell ref="L756:P756"/>
    <mergeCell ref="B757:P757"/>
    <mergeCell ref="B753:P754"/>
    <mergeCell ref="B755:D755"/>
    <mergeCell ref="E755:F755"/>
    <mergeCell ref="G755:I755"/>
    <mergeCell ref="J755:L755"/>
    <mergeCell ref="M755:N755"/>
    <mergeCell ref="O755:P755"/>
    <mergeCell ref="B752:C752"/>
    <mergeCell ref="D752:E752"/>
    <mergeCell ref="F752:G752"/>
    <mergeCell ref="H752:J752"/>
    <mergeCell ref="K752:N752"/>
    <mergeCell ref="O752:P752"/>
    <mergeCell ref="B750:D750"/>
    <mergeCell ref="E750:H750"/>
    <mergeCell ref="J750:P750"/>
    <mergeCell ref="B751:D751"/>
    <mergeCell ref="F751:G751"/>
    <mergeCell ref="I751:J751"/>
    <mergeCell ref="L751:M751"/>
    <mergeCell ref="O751:P751"/>
    <mergeCell ref="B748:D748"/>
    <mergeCell ref="E748:J748"/>
    <mergeCell ref="L748:P748"/>
    <mergeCell ref="B749:D749"/>
    <mergeCell ref="E749:I749"/>
    <mergeCell ref="K749:L749"/>
    <mergeCell ref="M749:N749"/>
    <mergeCell ref="O749:P749"/>
    <mergeCell ref="B746:D746"/>
    <mergeCell ref="E746:G746"/>
    <mergeCell ref="H746:I746"/>
    <mergeCell ref="K746:M746"/>
    <mergeCell ref="N746:P746"/>
    <mergeCell ref="B747:D747"/>
    <mergeCell ref="E747:I747"/>
    <mergeCell ref="J747:K747"/>
    <mergeCell ref="L747:P747"/>
    <mergeCell ref="C743:E743"/>
    <mergeCell ref="B744:P744"/>
    <mergeCell ref="B745:D745"/>
    <mergeCell ref="E745:G745"/>
    <mergeCell ref="H745:I745"/>
    <mergeCell ref="J745:L745"/>
    <mergeCell ref="M745:N745"/>
    <mergeCell ref="O745:P745"/>
    <mergeCell ref="B735:P735"/>
    <mergeCell ref="B737:G738"/>
    <mergeCell ref="I738:P738"/>
    <mergeCell ref="B739:E739"/>
    <mergeCell ref="F739:L743"/>
    <mergeCell ref="M739:P740"/>
    <mergeCell ref="B740:E740"/>
    <mergeCell ref="C741:E741"/>
    <mergeCell ref="C742:E742"/>
    <mergeCell ref="M742:P743"/>
    <mergeCell ref="B732:P732"/>
    <mergeCell ref="B733:B734"/>
    <mergeCell ref="C733:I733"/>
    <mergeCell ref="K733:M733"/>
    <mergeCell ref="C734:I734"/>
    <mergeCell ref="J734:P734"/>
    <mergeCell ref="B729:I729"/>
    <mergeCell ref="K729:P729"/>
    <mergeCell ref="B730:I730"/>
    <mergeCell ref="K730:P730"/>
    <mergeCell ref="B731:I731"/>
    <mergeCell ref="K731:P731"/>
    <mergeCell ref="C724:D724"/>
    <mergeCell ref="E724:F724"/>
    <mergeCell ref="G724:I724"/>
    <mergeCell ref="J724:K724"/>
    <mergeCell ref="L724:P724"/>
    <mergeCell ref="B725:I726"/>
    <mergeCell ref="J725:P728"/>
    <mergeCell ref="B727:I728"/>
    <mergeCell ref="B723:D723"/>
    <mergeCell ref="E723:F723"/>
    <mergeCell ref="G723:I723"/>
    <mergeCell ref="J723:L723"/>
    <mergeCell ref="M723:N723"/>
    <mergeCell ref="O723:P723"/>
    <mergeCell ref="C721:D721"/>
    <mergeCell ref="E721:F721"/>
    <mergeCell ref="G721:I721"/>
    <mergeCell ref="J721:K721"/>
    <mergeCell ref="L721:P721"/>
    <mergeCell ref="B722:P722"/>
    <mergeCell ref="B718:P719"/>
    <mergeCell ref="B720:D720"/>
    <mergeCell ref="E720:F720"/>
    <mergeCell ref="G720:I720"/>
    <mergeCell ref="J720:L720"/>
    <mergeCell ref="M720:N720"/>
    <mergeCell ref="O720:P720"/>
    <mergeCell ref="B717:C717"/>
    <mergeCell ref="D717:E717"/>
    <mergeCell ref="F717:G717"/>
    <mergeCell ref="H717:J717"/>
    <mergeCell ref="K717:N717"/>
    <mergeCell ref="O717:P717"/>
    <mergeCell ref="B715:D715"/>
    <mergeCell ref="E715:H715"/>
    <mergeCell ref="J715:P715"/>
    <mergeCell ref="B716:D716"/>
    <mergeCell ref="F716:G716"/>
    <mergeCell ref="I716:J716"/>
    <mergeCell ref="L716:M716"/>
    <mergeCell ref="O716:P716"/>
    <mergeCell ref="B713:D713"/>
    <mergeCell ref="E713:J713"/>
    <mergeCell ref="L713:P713"/>
    <mergeCell ref="B714:D714"/>
    <mergeCell ref="E714:I714"/>
    <mergeCell ref="K714:L714"/>
    <mergeCell ref="M714:N714"/>
    <mergeCell ref="O714:P714"/>
    <mergeCell ref="B711:D711"/>
    <mergeCell ref="E711:G711"/>
    <mergeCell ref="H711:I711"/>
    <mergeCell ref="K711:M711"/>
    <mergeCell ref="N711:P711"/>
    <mergeCell ref="B712:D712"/>
    <mergeCell ref="E712:I712"/>
    <mergeCell ref="J712:K712"/>
    <mergeCell ref="L712:P712"/>
    <mergeCell ref="C708:E708"/>
    <mergeCell ref="B709:P709"/>
    <mergeCell ref="B710:D710"/>
    <mergeCell ref="E710:G710"/>
    <mergeCell ref="H710:I710"/>
    <mergeCell ref="J710:L710"/>
    <mergeCell ref="M710:N710"/>
    <mergeCell ref="O710:P710"/>
    <mergeCell ref="B700:P700"/>
    <mergeCell ref="B702:G703"/>
    <mergeCell ref="I703:P703"/>
    <mergeCell ref="B704:E704"/>
    <mergeCell ref="F704:L708"/>
    <mergeCell ref="M704:P705"/>
    <mergeCell ref="B705:E705"/>
    <mergeCell ref="C706:E706"/>
    <mergeCell ref="C707:E707"/>
    <mergeCell ref="M707:P708"/>
    <mergeCell ref="B697:P697"/>
    <mergeCell ref="B698:B699"/>
    <mergeCell ref="C698:I698"/>
    <mergeCell ref="K698:M698"/>
    <mergeCell ref="C699:I699"/>
    <mergeCell ref="J699:P699"/>
    <mergeCell ref="B694:I694"/>
    <mergeCell ref="K694:P694"/>
    <mergeCell ref="B695:I695"/>
    <mergeCell ref="K695:P695"/>
    <mergeCell ref="B696:I696"/>
    <mergeCell ref="K696:P696"/>
    <mergeCell ref="C689:D689"/>
    <mergeCell ref="E689:F689"/>
    <mergeCell ref="G689:I689"/>
    <mergeCell ref="J689:K689"/>
    <mergeCell ref="L689:P689"/>
    <mergeCell ref="B690:I691"/>
    <mergeCell ref="J690:P693"/>
    <mergeCell ref="B692:I693"/>
    <mergeCell ref="B688:D688"/>
    <mergeCell ref="E688:F688"/>
    <mergeCell ref="G688:I688"/>
    <mergeCell ref="J688:L688"/>
    <mergeCell ref="M688:N688"/>
    <mergeCell ref="O688:P688"/>
    <mergeCell ref="C686:D686"/>
    <mergeCell ref="E686:F686"/>
    <mergeCell ref="G686:I686"/>
    <mergeCell ref="J686:K686"/>
    <mergeCell ref="L686:P686"/>
    <mergeCell ref="B687:P687"/>
    <mergeCell ref="B683:P684"/>
    <mergeCell ref="B685:D685"/>
    <mergeCell ref="E685:F685"/>
    <mergeCell ref="G685:I685"/>
    <mergeCell ref="J685:L685"/>
    <mergeCell ref="M685:N685"/>
    <mergeCell ref="O685:P685"/>
    <mergeCell ref="B682:C682"/>
    <mergeCell ref="D682:E682"/>
    <mergeCell ref="F682:G682"/>
    <mergeCell ref="H682:J682"/>
    <mergeCell ref="K682:N682"/>
    <mergeCell ref="O682:P682"/>
    <mergeCell ref="B680:D680"/>
    <mergeCell ref="E680:H680"/>
    <mergeCell ref="J680:P680"/>
    <mergeCell ref="B681:D681"/>
    <mergeCell ref="F681:G681"/>
    <mergeCell ref="I681:J681"/>
    <mergeCell ref="L681:M681"/>
    <mergeCell ref="O681:P681"/>
    <mergeCell ref="B678:D678"/>
    <mergeCell ref="E678:J678"/>
    <mergeCell ref="L678:P678"/>
    <mergeCell ref="B679:D679"/>
    <mergeCell ref="E679:I679"/>
    <mergeCell ref="K679:L679"/>
    <mergeCell ref="M679:N679"/>
    <mergeCell ref="O679:P679"/>
    <mergeCell ref="B676:D676"/>
    <mergeCell ref="E676:G676"/>
    <mergeCell ref="H676:I676"/>
    <mergeCell ref="K676:M676"/>
    <mergeCell ref="N676:P676"/>
    <mergeCell ref="B677:D677"/>
    <mergeCell ref="E677:I677"/>
    <mergeCell ref="J677:K677"/>
    <mergeCell ref="L677:P677"/>
    <mergeCell ref="C673:E673"/>
    <mergeCell ref="B674:P674"/>
    <mergeCell ref="B675:D675"/>
    <mergeCell ref="E675:G675"/>
    <mergeCell ref="H675:I675"/>
    <mergeCell ref="J675:L675"/>
    <mergeCell ref="M675:N675"/>
    <mergeCell ref="O675:P675"/>
    <mergeCell ref="B665:P665"/>
    <mergeCell ref="B667:G668"/>
    <mergeCell ref="I668:P668"/>
    <mergeCell ref="B669:E669"/>
    <mergeCell ref="F669:L673"/>
    <mergeCell ref="M669:P670"/>
    <mergeCell ref="B670:E670"/>
    <mergeCell ref="C671:E671"/>
    <mergeCell ref="C672:E672"/>
    <mergeCell ref="M672:P673"/>
    <mergeCell ref="B662:P662"/>
    <mergeCell ref="B663:B664"/>
    <mergeCell ref="C663:I663"/>
    <mergeCell ref="K663:M663"/>
    <mergeCell ref="C664:I664"/>
    <mergeCell ref="J664:P664"/>
    <mergeCell ref="B659:I659"/>
    <mergeCell ref="K659:P659"/>
    <mergeCell ref="B660:I660"/>
    <mergeCell ref="K660:P660"/>
    <mergeCell ref="B661:I661"/>
    <mergeCell ref="K661:P661"/>
    <mergeCell ref="C654:D654"/>
    <mergeCell ref="E654:F654"/>
    <mergeCell ref="G654:I654"/>
    <mergeCell ref="J654:K654"/>
    <mergeCell ref="L654:P654"/>
    <mergeCell ref="B655:I656"/>
    <mergeCell ref="J655:P658"/>
    <mergeCell ref="B657:I658"/>
    <mergeCell ref="B653:D653"/>
    <mergeCell ref="E653:F653"/>
    <mergeCell ref="G653:I653"/>
    <mergeCell ref="J653:L653"/>
    <mergeCell ref="M653:N653"/>
    <mergeCell ref="O653:P653"/>
    <mergeCell ref="C651:D651"/>
    <mergeCell ref="E651:F651"/>
    <mergeCell ref="G651:I651"/>
    <mergeCell ref="J651:K651"/>
    <mergeCell ref="L651:P651"/>
    <mergeCell ref="B652:P652"/>
    <mergeCell ref="B648:P649"/>
    <mergeCell ref="B650:D650"/>
    <mergeCell ref="E650:F650"/>
    <mergeCell ref="G650:I650"/>
    <mergeCell ref="J650:L650"/>
    <mergeCell ref="M650:N650"/>
    <mergeCell ref="O650:P650"/>
    <mergeCell ref="B647:C647"/>
    <mergeCell ref="D647:E647"/>
    <mergeCell ref="F647:G647"/>
    <mergeCell ref="H647:J647"/>
    <mergeCell ref="K647:N647"/>
    <mergeCell ref="O647:P647"/>
    <mergeCell ref="B645:D645"/>
    <mergeCell ref="E645:H645"/>
    <mergeCell ref="J645:P645"/>
    <mergeCell ref="B646:D646"/>
    <mergeCell ref="F646:G646"/>
    <mergeCell ref="I646:J646"/>
    <mergeCell ref="L646:M646"/>
    <mergeCell ref="O646:P646"/>
    <mergeCell ref="B643:D643"/>
    <mergeCell ref="E643:J643"/>
    <mergeCell ref="L643:P643"/>
    <mergeCell ref="B644:D644"/>
    <mergeCell ref="E644:I644"/>
    <mergeCell ref="K644:L644"/>
    <mergeCell ref="M644:N644"/>
    <mergeCell ref="O644:P644"/>
    <mergeCell ref="B641:D641"/>
    <mergeCell ref="E641:G641"/>
    <mergeCell ref="H641:I641"/>
    <mergeCell ref="K641:M641"/>
    <mergeCell ref="N641:P641"/>
    <mergeCell ref="B642:D642"/>
    <mergeCell ref="E642:I642"/>
    <mergeCell ref="J642:K642"/>
    <mergeCell ref="L642:P642"/>
    <mergeCell ref="C638:E638"/>
    <mergeCell ref="B639:P639"/>
    <mergeCell ref="B640:D640"/>
    <mergeCell ref="E640:G640"/>
    <mergeCell ref="H640:I640"/>
    <mergeCell ref="J640:L640"/>
    <mergeCell ref="M640:N640"/>
    <mergeCell ref="O640:P640"/>
    <mergeCell ref="B630:P630"/>
    <mergeCell ref="B632:G633"/>
    <mergeCell ref="I633:P633"/>
    <mergeCell ref="B634:E634"/>
    <mergeCell ref="F634:L638"/>
    <mergeCell ref="M634:P635"/>
    <mergeCell ref="B635:E635"/>
    <mergeCell ref="C636:E636"/>
    <mergeCell ref="C637:E637"/>
    <mergeCell ref="M637:P638"/>
    <mergeCell ref="B627:P627"/>
    <mergeCell ref="B628:B629"/>
    <mergeCell ref="C628:I628"/>
    <mergeCell ref="K628:M628"/>
    <mergeCell ref="C629:I629"/>
    <mergeCell ref="J629:P629"/>
    <mergeCell ref="B624:I624"/>
    <mergeCell ref="K624:P624"/>
    <mergeCell ref="B625:I625"/>
    <mergeCell ref="K625:P625"/>
    <mergeCell ref="B626:I626"/>
    <mergeCell ref="K626:P626"/>
    <mergeCell ref="C619:D619"/>
    <mergeCell ref="E619:F619"/>
    <mergeCell ref="G619:I619"/>
    <mergeCell ref="J619:K619"/>
    <mergeCell ref="L619:P619"/>
    <mergeCell ref="B620:I621"/>
    <mergeCell ref="J620:P623"/>
    <mergeCell ref="B622:I623"/>
    <mergeCell ref="B618:D618"/>
    <mergeCell ref="E618:F618"/>
    <mergeCell ref="G618:I618"/>
    <mergeCell ref="J618:L618"/>
    <mergeCell ref="M618:N618"/>
    <mergeCell ref="O618:P618"/>
    <mergeCell ref="C616:D616"/>
    <mergeCell ref="E616:F616"/>
    <mergeCell ref="G616:I616"/>
    <mergeCell ref="J616:K616"/>
    <mergeCell ref="L616:P616"/>
    <mergeCell ref="B617:P617"/>
    <mergeCell ref="B613:P614"/>
    <mergeCell ref="B615:D615"/>
    <mergeCell ref="E615:F615"/>
    <mergeCell ref="G615:I615"/>
    <mergeCell ref="J615:L615"/>
    <mergeCell ref="M615:N615"/>
    <mergeCell ref="O615:P615"/>
    <mergeCell ref="B612:C612"/>
    <mergeCell ref="D612:E612"/>
    <mergeCell ref="F612:G612"/>
    <mergeCell ref="H612:J612"/>
    <mergeCell ref="K612:N612"/>
    <mergeCell ref="O612:P612"/>
    <mergeCell ref="B610:D610"/>
    <mergeCell ref="E610:H610"/>
    <mergeCell ref="J610:P610"/>
    <mergeCell ref="B611:D611"/>
    <mergeCell ref="F611:G611"/>
    <mergeCell ref="I611:J611"/>
    <mergeCell ref="L611:M611"/>
    <mergeCell ref="O611:P611"/>
    <mergeCell ref="B608:D608"/>
    <mergeCell ref="E608:J608"/>
    <mergeCell ref="L608:P608"/>
    <mergeCell ref="B609:D609"/>
    <mergeCell ref="E609:I609"/>
    <mergeCell ref="K609:L609"/>
    <mergeCell ref="M609:N609"/>
    <mergeCell ref="O609:P609"/>
    <mergeCell ref="B606:D606"/>
    <mergeCell ref="E606:G606"/>
    <mergeCell ref="H606:I606"/>
    <mergeCell ref="K606:M606"/>
    <mergeCell ref="N606:P606"/>
    <mergeCell ref="B607:D607"/>
    <mergeCell ref="E607:I607"/>
    <mergeCell ref="J607:K607"/>
    <mergeCell ref="L607:P607"/>
    <mergeCell ref="C603:E603"/>
    <mergeCell ref="B604:P604"/>
    <mergeCell ref="B605:D605"/>
    <mergeCell ref="E605:G605"/>
    <mergeCell ref="H605:I605"/>
    <mergeCell ref="J605:L605"/>
    <mergeCell ref="M605:N605"/>
    <mergeCell ref="O605:P605"/>
    <mergeCell ref="B595:P595"/>
    <mergeCell ref="B597:G598"/>
    <mergeCell ref="I598:P598"/>
    <mergeCell ref="B599:E599"/>
    <mergeCell ref="F599:L603"/>
    <mergeCell ref="M599:P600"/>
    <mergeCell ref="B600:E600"/>
    <mergeCell ref="C601:E601"/>
    <mergeCell ref="C602:E602"/>
    <mergeCell ref="M602:P603"/>
    <mergeCell ref="B592:P592"/>
    <mergeCell ref="B593:B594"/>
    <mergeCell ref="C593:I593"/>
    <mergeCell ref="K593:M593"/>
    <mergeCell ref="C594:I594"/>
    <mergeCell ref="J594:P594"/>
    <mergeCell ref="B589:I589"/>
    <mergeCell ref="K589:P589"/>
    <mergeCell ref="B590:I590"/>
    <mergeCell ref="K590:P590"/>
    <mergeCell ref="B591:I591"/>
    <mergeCell ref="K591:P591"/>
    <mergeCell ref="C584:D584"/>
    <mergeCell ref="E584:F584"/>
    <mergeCell ref="G584:I584"/>
    <mergeCell ref="J584:K584"/>
    <mergeCell ref="L584:P584"/>
    <mergeCell ref="B585:I586"/>
    <mergeCell ref="J585:P588"/>
    <mergeCell ref="B587:I588"/>
    <mergeCell ref="B583:D583"/>
    <mergeCell ref="E583:F583"/>
    <mergeCell ref="G583:I583"/>
    <mergeCell ref="J583:L583"/>
    <mergeCell ref="M583:N583"/>
    <mergeCell ref="O583:P583"/>
    <mergeCell ref="C581:D581"/>
    <mergeCell ref="E581:F581"/>
    <mergeCell ref="G581:I581"/>
    <mergeCell ref="J581:K581"/>
    <mergeCell ref="L581:P581"/>
    <mergeCell ref="B582:P582"/>
    <mergeCell ref="B578:P579"/>
    <mergeCell ref="B580:D580"/>
    <mergeCell ref="E580:F580"/>
    <mergeCell ref="G580:I580"/>
    <mergeCell ref="J580:L580"/>
    <mergeCell ref="M580:N580"/>
    <mergeCell ref="O580:P580"/>
    <mergeCell ref="B577:C577"/>
    <mergeCell ref="D577:E577"/>
    <mergeCell ref="F577:G577"/>
    <mergeCell ref="H577:J577"/>
    <mergeCell ref="K577:N577"/>
    <mergeCell ref="O577:P577"/>
    <mergeCell ref="B575:D575"/>
    <mergeCell ref="E575:H575"/>
    <mergeCell ref="J575:P575"/>
    <mergeCell ref="B576:D576"/>
    <mergeCell ref="F576:G576"/>
    <mergeCell ref="I576:J576"/>
    <mergeCell ref="L576:M576"/>
    <mergeCell ref="O576:P576"/>
    <mergeCell ref="B573:D573"/>
    <mergeCell ref="E573:J573"/>
    <mergeCell ref="L573:P573"/>
    <mergeCell ref="B574:D574"/>
    <mergeCell ref="E574:I574"/>
    <mergeCell ref="K574:L574"/>
    <mergeCell ref="M574:N574"/>
    <mergeCell ref="O574:P574"/>
    <mergeCell ref="B571:D571"/>
    <mergeCell ref="E571:G571"/>
    <mergeCell ref="H571:I571"/>
    <mergeCell ref="K571:M571"/>
    <mergeCell ref="N571:P571"/>
    <mergeCell ref="B572:D572"/>
    <mergeCell ref="E572:I572"/>
    <mergeCell ref="J572:K572"/>
    <mergeCell ref="L572:P572"/>
    <mergeCell ref="C568:E568"/>
    <mergeCell ref="B569:P569"/>
    <mergeCell ref="B570:D570"/>
    <mergeCell ref="E570:G570"/>
    <mergeCell ref="H570:I570"/>
    <mergeCell ref="J570:L570"/>
    <mergeCell ref="M570:N570"/>
    <mergeCell ref="O570:P570"/>
    <mergeCell ref="B560:P560"/>
    <mergeCell ref="B562:G563"/>
    <mergeCell ref="I563:P563"/>
    <mergeCell ref="B564:E564"/>
    <mergeCell ref="F564:L568"/>
    <mergeCell ref="M564:P565"/>
    <mergeCell ref="B565:E565"/>
    <mergeCell ref="C566:E566"/>
    <mergeCell ref="C567:E567"/>
    <mergeCell ref="M567:P568"/>
    <mergeCell ref="B557:P557"/>
    <mergeCell ref="B558:B559"/>
    <mergeCell ref="C558:I558"/>
    <mergeCell ref="K558:M558"/>
    <mergeCell ref="C559:I559"/>
    <mergeCell ref="J559:P559"/>
    <mergeCell ref="B554:I554"/>
    <mergeCell ref="K554:P554"/>
    <mergeCell ref="B555:I555"/>
    <mergeCell ref="K555:P555"/>
    <mergeCell ref="B556:I556"/>
    <mergeCell ref="K556:P556"/>
    <mergeCell ref="C549:D549"/>
    <mergeCell ref="E549:F549"/>
    <mergeCell ref="G549:I549"/>
    <mergeCell ref="J549:K549"/>
    <mergeCell ref="L549:P549"/>
    <mergeCell ref="B550:I551"/>
    <mergeCell ref="J550:P553"/>
    <mergeCell ref="B552:I553"/>
    <mergeCell ref="B548:D548"/>
    <mergeCell ref="E548:F548"/>
    <mergeCell ref="G548:I548"/>
    <mergeCell ref="J548:L548"/>
    <mergeCell ref="M548:N548"/>
    <mergeCell ref="O548:P548"/>
    <mergeCell ref="C546:D546"/>
    <mergeCell ref="E546:F546"/>
    <mergeCell ref="G546:I546"/>
    <mergeCell ref="J546:K546"/>
    <mergeCell ref="L546:P546"/>
    <mergeCell ref="B547:P547"/>
    <mergeCell ref="B543:P544"/>
    <mergeCell ref="B545:D545"/>
    <mergeCell ref="E545:F545"/>
    <mergeCell ref="G545:I545"/>
    <mergeCell ref="J545:L545"/>
    <mergeCell ref="M545:N545"/>
    <mergeCell ref="O545:P545"/>
    <mergeCell ref="B542:C542"/>
    <mergeCell ref="D542:E542"/>
    <mergeCell ref="F542:G542"/>
    <mergeCell ref="H542:J542"/>
    <mergeCell ref="K542:N542"/>
    <mergeCell ref="O542:P542"/>
    <mergeCell ref="B540:D540"/>
    <mergeCell ref="E540:H540"/>
    <mergeCell ref="J540:P540"/>
    <mergeCell ref="B541:D541"/>
    <mergeCell ref="F541:G541"/>
    <mergeCell ref="I541:J541"/>
    <mergeCell ref="L541:M541"/>
    <mergeCell ref="O541:P541"/>
    <mergeCell ref="B538:D538"/>
    <mergeCell ref="E538:J538"/>
    <mergeCell ref="L538:P538"/>
    <mergeCell ref="B539:D539"/>
    <mergeCell ref="E539:I539"/>
    <mergeCell ref="K539:L539"/>
    <mergeCell ref="M539:N539"/>
    <mergeCell ref="O539:P539"/>
    <mergeCell ref="B536:D536"/>
    <mergeCell ref="E536:G536"/>
    <mergeCell ref="H536:I536"/>
    <mergeCell ref="K536:M536"/>
    <mergeCell ref="N536:P536"/>
    <mergeCell ref="B537:D537"/>
    <mergeCell ref="E537:I537"/>
    <mergeCell ref="J537:K537"/>
    <mergeCell ref="L537:P537"/>
    <mergeCell ref="C533:E533"/>
    <mergeCell ref="B534:P534"/>
    <mergeCell ref="B535:D535"/>
    <mergeCell ref="E535:G535"/>
    <mergeCell ref="H535:I535"/>
    <mergeCell ref="J535:L535"/>
    <mergeCell ref="M535:N535"/>
    <mergeCell ref="O535:P535"/>
    <mergeCell ref="B525:P525"/>
    <mergeCell ref="B527:G528"/>
    <mergeCell ref="I528:P528"/>
    <mergeCell ref="B529:E529"/>
    <mergeCell ref="F529:L533"/>
    <mergeCell ref="M529:P530"/>
    <mergeCell ref="B530:E530"/>
    <mergeCell ref="C531:E531"/>
    <mergeCell ref="C532:E532"/>
    <mergeCell ref="M532:P533"/>
    <mergeCell ref="B522:P522"/>
    <mergeCell ref="B523:B524"/>
    <mergeCell ref="C523:I523"/>
    <mergeCell ref="K523:M523"/>
    <mergeCell ref="C524:I524"/>
    <mergeCell ref="J524:P524"/>
    <mergeCell ref="B519:I519"/>
    <mergeCell ref="K519:P519"/>
    <mergeCell ref="B520:I520"/>
    <mergeCell ref="K520:P520"/>
    <mergeCell ref="B521:I521"/>
    <mergeCell ref="K521:P521"/>
    <mergeCell ref="C514:D514"/>
    <mergeCell ref="E514:F514"/>
    <mergeCell ref="G514:I514"/>
    <mergeCell ref="J514:K514"/>
    <mergeCell ref="L514:P514"/>
    <mergeCell ref="B515:I516"/>
    <mergeCell ref="J515:P518"/>
    <mergeCell ref="B517:I518"/>
    <mergeCell ref="B513:D513"/>
    <mergeCell ref="E513:F513"/>
    <mergeCell ref="G513:I513"/>
    <mergeCell ref="J513:L513"/>
    <mergeCell ref="M513:N513"/>
    <mergeCell ref="O513:P513"/>
    <mergeCell ref="C511:D511"/>
    <mergeCell ref="E511:F511"/>
    <mergeCell ref="G511:I511"/>
    <mergeCell ref="J511:K511"/>
    <mergeCell ref="L511:P511"/>
    <mergeCell ref="B512:P512"/>
    <mergeCell ref="B508:P509"/>
    <mergeCell ref="B510:D510"/>
    <mergeCell ref="E510:F510"/>
    <mergeCell ref="G510:I510"/>
    <mergeCell ref="J510:L510"/>
    <mergeCell ref="M510:N510"/>
    <mergeCell ref="O510:P510"/>
    <mergeCell ref="B507:C507"/>
    <mergeCell ref="D507:E507"/>
    <mergeCell ref="F507:G507"/>
    <mergeCell ref="H507:J507"/>
    <mergeCell ref="K507:N507"/>
    <mergeCell ref="O507:P507"/>
    <mergeCell ref="B505:D505"/>
    <mergeCell ref="E505:H505"/>
    <mergeCell ref="J505:P505"/>
    <mergeCell ref="B506:D506"/>
    <mergeCell ref="F506:G506"/>
    <mergeCell ref="I506:J506"/>
    <mergeCell ref="L506:M506"/>
    <mergeCell ref="O506:P506"/>
    <mergeCell ref="B503:D503"/>
    <mergeCell ref="E503:J503"/>
    <mergeCell ref="L503:P503"/>
    <mergeCell ref="B504:D504"/>
    <mergeCell ref="E504:I504"/>
    <mergeCell ref="K504:L504"/>
    <mergeCell ref="M504:N504"/>
    <mergeCell ref="O504:P504"/>
    <mergeCell ref="B501:D501"/>
    <mergeCell ref="E501:G501"/>
    <mergeCell ref="H501:I501"/>
    <mergeCell ref="K501:M501"/>
    <mergeCell ref="N501:P501"/>
    <mergeCell ref="B502:D502"/>
    <mergeCell ref="E502:I502"/>
    <mergeCell ref="J502:K502"/>
    <mergeCell ref="L502:P502"/>
    <mergeCell ref="C498:E498"/>
    <mergeCell ref="B499:P499"/>
    <mergeCell ref="B500:D500"/>
    <mergeCell ref="E500:G500"/>
    <mergeCell ref="H500:I500"/>
    <mergeCell ref="J500:L500"/>
    <mergeCell ref="M500:N500"/>
    <mergeCell ref="O500:P500"/>
    <mergeCell ref="B490:P490"/>
    <mergeCell ref="B492:G493"/>
    <mergeCell ref="I493:P493"/>
    <mergeCell ref="B494:E494"/>
    <mergeCell ref="F494:L498"/>
    <mergeCell ref="M494:P495"/>
    <mergeCell ref="B495:E495"/>
    <mergeCell ref="C496:E496"/>
    <mergeCell ref="C497:E497"/>
    <mergeCell ref="M497:P498"/>
    <mergeCell ref="B487:P487"/>
    <mergeCell ref="B488:B489"/>
    <mergeCell ref="C488:I488"/>
    <mergeCell ref="K488:M488"/>
    <mergeCell ref="C489:I489"/>
    <mergeCell ref="J489:P489"/>
    <mergeCell ref="B484:I484"/>
    <mergeCell ref="K484:P484"/>
    <mergeCell ref="B485:I485"/>
    <mergeCell ref="K485:P485"/>
    <mergeCell ref="B486:I486"/>
    <mergeCell ref="K486:P486"/>
    <mergeCell ref="C479:D479"/>
    <mergeCell ref="E479:F479"/>
    <mergeCell ref="G479:I479"/>
    <mergeCell ref="J479:K479"/>
    <mergeCell ref="L479:P479"/>
    <mergeCell ref="B480:I481"/>
    <mergeCell ref="J480:P483"/>
    <mergeCell ref="B482:I483"/>
    <mergeCell ref="B478:D478"/>
    <mergeCell ref="E478:F478"/>
    <mergeCell ref="G478:I478"/>
    <mergeCell ref="J478:L478"/>
    <mergeCell ref="M478:N478"/>
    <mergeCell ref="O478:P478"/>
    <mergeCell ref="C476:D476"/>
    <mergeCell ref="E476:F476"/>
    <mergeCell ref="G476:I476"/>
    <mergeCell ref="J476:K476"/>
    <mergeCell ref="L476:P476"/>
    <mergeCell ref="B477:P477"/>
    <mergeCell ref="B473:P474"/>
    <mergeCell ref="B475:D475"/>
    <mergeCell ref="E475:F475"/>
    <mergeCell ref="G475:I475"/>
    <mergeCell ref="J475:L475"/>
    <mergeCell ref="M475:N475"/>
    <mergeCell ref="O475:P475"/>
    <mergeCell ref="B472:C472"/>
    <mergeCell ref="D472:E472"/>
    <mergeCell ref="F472:G472"/>
    <mergeCell ref="H472:J472"/>
    <mergeCell ref="K472:N472"/>
    <mergeCell ref="O472:P472"/>
    <mergeCell ref="B470:D470"/>
    <mergeCell ref="E470:H470"/>
    <mergeCell ref="J470:P470"/>
    <mergeCell ref="B471:D471"/>
    <mergeCell ref="F471:G471"/>
    <mergeCell ref="I471:J471"/>
    <mergeCell ref="L471:M471"/>
    <mergeCell ref="O471:P471"/>
    <mergeCell ref="B468:D468"/>
    <mergeCell ref="E468:J468"/>
    <mergeCell ref="L468:P468"/>
    <mergeCell ref="B469:D469"/>
    <mergeCell ref="E469:I469"/>
    <mergeCell ref="K469:L469"/>
    <mergeCell ref="M469:N469"/>
    <mergeCell ref="O469:P469"/>
    <mergeCell ref="B466:D466"/>
    <mergeCell ref="E466:G466"/>
    <mergeCell ref="H466:I466"/>
    <mergeCell ref="K466:M466"/>
    <mergeCell ref="N466:P466"/>
    <mergeCell ref="B467:D467"/>
    <mergeCell ref="E467:I467"/>
    <mergeCell ref="J467:K467"/>
    <mergeCell ref="L467:P467"/>
    <mergeCell ref="C463:E463"/>
    <mergeCell ref="B464:P464"/>
    <mergeCell ref="B465:D465"/>
    <mergeCell ref="E465:G465"/>
    <mergeCell ref="H465:I465"/>
    <mergeCell ref="J465:L465"/>
    <mergeCell ref="M465:N465"/>
    <mergeCell ref="O465:P465"/>
    <mergeCell ref="B455:P455"/>
    <mergeCell ref="B457:G458"/>
    <mergeCell ref="I458:P458"/>
    <mergeCell ref="B459:E459"/>
    <mergeCell ref="F459:L463"/>
    <mergeCell ref="M459:P460"/>
    <mergeCell ref="B460:E460"/>
    <mergeCell ref="C461:E461"/>
    <mergeCell ref="C462:E462"/>
    <mergeCell ref="M462:P463"/>
    <mergeCell ref="B452:P452"/>
    <mergeCell ref="B453:B454"/>
    <mergeCell ref="C453:I453"/>
    <mergeCell ref="K453:M453"/>
    <mergeCell ref="C454:I454"/>
    <mergeCell ref="J454:P454"/>
    <mergeCell ref="B449:I449"/>
    <mergeCell ref="K449:P449"/>
    <mergeCell ref="B450:I450"/>
    <mergeCell ref="K450:P450"/>
    <mergeCell ref="B451:I451"/>
    <mergeCell ref="K451:P451"/>
    <mergeCell ref="C444:D444"/>
    <mergeCell ref="E444:F444"/>
    <mergeCell ref="G444:I444"/>
    <mergeCell ref="J444:K444"/>
    <mergeCell ref="L444:P444"/>
    <mergeCell ref="B445:I446"/>
    <mergeCell ref="J445:P448"/>
    <mergeCell ref="B447:I448"/>
    <mergeCell ref="B443:D443"/>
    <mergeCell ref="E443:F443"/>
    <mergeCell ref="G443:I443"/>
    <mergeCell ref="J443:L443"/>
    <mergeCell ref="M443:N443"/>
    <mergeCell ref="O443:P443"/>
    <mergeCell ref="C441:D441"/>
    <mergeCell ref="E441:F441"/>
    <mergeCell ref="G441:I441"/>
    <mergeCell ref="J441:K441"/>
    <mergeCell ref="L441:P441"/>
    <mergeCell ref="B442:P442"/>
    <mergeCell ref="B438:P439"/>
    <mergeCell ref="B440:D440"/>
    <mergeCell ref="E440:F440"/>
    <mergeCell ref="G440:I440"/>
    <mergeCell ref="J440:L440"/>
    <mergeCell ref="M440:N440"/>
    <mergeCell ref="O440:P440"/>
    <mergeCell ref="B437:C437"/>
    <mergeCell ref="D437:E437"/>
    <mergeCell ref="F437:G437"/>
    <mergeCell ref="H437:J437"/>
    <mergeCell ref="K437:N437"/>
    <mergeCell ref="O437:P437"/>
    <mergeCell ref="B435:D435"/>
    <mergeCell ref="E435:H435"/>
    <mergeCell ref="J435:P435"/>
    <mergeCell ref="B436:D436"/>
    <mergeCell ref="F436:G436"/>
    <mergeCell ref="I436:J436"/>
    <mergeCell ref="L436:M436"/>
    <mergeCell ref="O436:P436"/>
    <mergeCell ref="B433:D433"/>
    <mergeCell ref="E433:J433"/>
    <mergeCell ref="L433:P433"/>
    <mergeCell ref="B434:D434"/>
    <mergeCell ref="E434:I434"/>
    <mergeCell ref="K434:L434"/>
    <mergeCell ref="M434:N434"/>
    <mergeCell ref="O434:P434"/>
    <mergeCell ref="B431:D431"/>
    <mergeCell ref="E431:G431"/>
    <mergeCell ref="H431:I431"/>
    <mergeCell ref="K431:M431"/>
    <mergeCell ref="N431:P431"/>
    <mergeCell ref="B432:D432"/>
    <mergeCell ref="E432:I432"/>
    <mergeCell ref="J432:K432"/>
    <mergeCell ref="L432:P432"/>
    <mergeCell ref="C428:E428"/>
    <mergeCell ref="B429:P429"/>
    <mergeCell ref="B430:D430"/>
    <mergeCell ref="E430:G430"/>
    <mergeCell ref="H430:I430"/>
    <mergeCell ref="J430:L430"/>
    <mergeCell ref="M430:N430"/>
    <mergeCell ref="O430:P430"/>
    <mergeCell ref="B420:P420"/>
    <mergeCell ref="B422:G423"/>
    <mergeCell ref="I423:P423"/>
    <mergeCell ref="B424:E424"/>
    <mergeCell ref="F424:L428"/>
    <mergeCell ref="M424:P425"/>
    <mergeCell ref="B425:E425"/>
    <mergeCell ref="C426:E426"/>
    <mergeCell ref="C427:E427"/>
    <mergeCell ref="M427:P428"/>
    <mergeCell ref="B417:P417"/>
    <mergeCell ref="B418:B419"/>
    <mergeCell ref="C418:I418"/>
    <mergeCell ref="K418:M418"/>
    <mergeCell ref="C419:I419"/>
    <mergeCell ref="J419:P419"/>
    <mergeCell ref="B414:I414"/>
    <mergeCell ref="K414:P414"/>
    <mergeCell ref="B415:I415"/>
    <mergeCell ref="K415:P415"/>
    <mergeCell ref="B416:I416"/>
    <mergeCell ref="K416:P416"/>
    <mergeCell ref="C409:D409"/>
    <mergeCell ref="E409:F409"/>
    <mergeCell ref="G409:I409"/>
    <mergeCell ref="J409:K409"/>
    <mergeCell ref="L409:P409"/>
    <mergeCell ref="B410:I411"/>
    <mergeCell ref="J410:P413"/>
    <mergeCell ref="B412:I413"/>
    <mergeCell ref="B408:D408"/>
    <mergeCell ref="E408:F408"/>
    <mergeCell ref="G408:I408"/>
    <mergeCell ref="J408:L408"/>
    <mergeCell ref="M408:N408"/>
    <mergeCell ref="O408:P408"/>
    <mergeCell ref="C406:D406"/>
    <mergeCell ref="E406:F406"/>
    <mergeCell ref="G406:I406"/>
    <mergeCell ref="J406:K406"/>
    <mergeCell ref="L406:P406"/>
    <mergeCell ref="B407:P407"/>
    <mergeCell ref="B403:P404"/>
    <mergeCell ref="B405:D405"/>
    <mergeCell ref="E405:F405"/>
    <mergeCell ref="G405:I405"/>
    <mergeCell ref="J405:L405"/>
    <mergeCell ref="M405:N405"/>
    <mergeCell ref="O405:P405"/>
    <mergeCell ref="B402:C402"/>
    <mergeCell ref="D402:E402"/>
    <mergeCell ref="F402:G402"/>
    <mergeCell ref="H402:J402"/>
    <mergeCell ref="K402:N402"/>
    <mergeCell ref="O402:P402"/>
    <mergeCell ref="B400:D400"/>
    <mergeCell ref="E400:H400"/>
    <mergeCell ref="J400:P400"/>
    <mergeCell ref="B401:D401"/>
    <mergeCell ref="F401:G401"/>
    <mergeCell ref="I401:J401"/>
    <mergeCell ref="L401:M401"/>
    <mergeCell ref="O401:P401"/>
    <mergeCell ref="B398:D398"/>
    <mergeCell ref="E398:J398"/>
    <mergeCell ref="L398:P398"/>
    <mergeCell ref="B399:D399"/>
    <mergeCell ref="E399:I399"/>
    <mergeCell ref="K399:L399"/>
    <mergeCell ref="M399:N399"/>
    <mergeCell ref="O399:P399"/>
    <mergeCell ref="B396:D396"/>
    <mergeCell ref="E396:G396"/>
    <mergeCell ref="H396:I396"/>
    <mergeCell ref="K396:M396"/>
    <mergeCell ref="N396:P396"/>
    <mergeCell ref="B397:D397"/>
    <mergeCell ref="E397:I397"/>
    <mergeCell ref="J397:K397"/>
    <mergeCell ref="L397:P397"/>
    <mergeCell ref="C393:E393"/>
    <mergeCell ref="B394:P394"/>
    <mergeCell ref="B395:D395"/>
    <mergeCell ref="E395:G395"/>
    <mergeCell ref="H395:I395"/>
    <mergeCell ref="J395:L395"/>
    <mergeCell ref="M395:N395"/>
    <mergeCell ref="O395:P395"/>
    <mergeCell ref="B385:P385"/>
    <mergeCell ref="B387:G388"/>
    <mergeCell ref="I388:P388"/>
    <mergeCell ref="B389:E389"/>
    <mergeCell ref="F389:L393"/>
    <mergeCell ref="M389:P390"/>
    <mergeCell ref="B390:E390"/>
    <mergeCell ref="C391:E391"/>
    <mergeCell ref="C392:E392"/>
    <mergeCell ref="M392:P393"/>
    <mergeCell ref="J370:L370"/>
    <mergeCell ref="M370:N370"/>
    <mergeCell ref="I366:J366"/>
    <mergeCell ref="L366:M366"/>
    <mergeCell ref="O366:P366"/>
    <mergeCell ref="B382:P382"/>
    <mergeCell ref="B383:B384"/>
    <mergeCell ref="C383:I383"/>
    <mergeCell ref="K383:M383"/>
    <mergeCell ref="C384:I384"/>
    <mergeCell ref="J384:P384"/>
    <mergeCell ref="B379:I379"/>
    <mergeCell ref="K379:P379"/>
    <mergeCell ref="B380:I380"/>
    <mergeCell ref="K380:P380"/>
    <mergeCell ref="B381:I381"/>
    <mergeCell ref="K381:P381"/>
    <mergeCell ref="C374:D374"/>
    <mergeCell ref="E374:F374"/>
    <mergeCell ref="G374:I374"/>
    <mergeCell ref="J374:K374"/>
    <mergeCell ref="L374:P374"/>
    <mergeCell ref="B375:I376"/>
    <mergeCell ref="J375:P378"/>
    <mergeCell ref="B377:I378"/>
    <mergeCell ref="M364:N364"/>
    <mergeCell ref="O364:P364"/>
    <mergeCell ref="B361:D361"/>
    <mergeCell ref="E361:G361"/>
    <mergeCell ref="H361:I361"/>
    <mergeCell ref="K361:M361"/>
    <mergeCell ref="N361:P361"/>
    <mergeCell ref="B362:D362"/>
    <mergeCell ref="E362:I362"/>
    <mergeCell ref="J362:K362"/>
    <mergeCell ref="L362:P362"/>
    <mergeCell ref="B372:P372"/>
    <mergeCell ref="B373:D373"/>
    <mergeCell ref="E373:F373"/>
    <mergeCell ref="G373:I373"/>
    <mergeCell ref="J373:L373"/>
    <mergeCell ref="M373:N373"/>
    <mergeCell ref="O373:P373"/>
    <mergeCell ref="O370:P370"/>
    <mergeCell ref="C371:D371"/>
    <mergeCell ref="E371:F371"/>
    <mergeCell ref="G371:I371"/>
    <mergeCell ref="J371:K371"/>
    <mergeCell ref="L371:P371"/>
    <mergeCell ref="B365:D365"/>
    <mergeCell ref="E365:H365"/>
    <mergeCell ref="J365:P365"/>
    <mergeCell ref="B366:D366"/>
    <mergeCell ref="F366:G366"/>
    <mergeCell ref="B370:D370"/>
    <mergeCell ref="E370:F370"/>
    <mergeCell ref="G370:I370"/>
    <mergeCell ref="B350:P350"/>
    <mergeCell ref="B368:P369"/>
    <mergeCell ref="C358:E358"/>
    <mergeCell ref="B359:P359"/>
    <mergeCell ref="B360:D360"/>
    <mergeCell ref="E360:G360"/>
    <mergeCell ref="H360:I360"/>
    <mergeCell ref="J360:L360"/>
    <mergeCell ref="M360:N360"/>
    <mergeCell ref="O360:P360"/>
    <mergeCell ref="B347:P347"/>
    <mergeCell ref="B348:B349"/>
    <mergeCell ref="C348:I348"/>
    <mergeCell ref="K348:M348"/>
    <mergeCell ref="C349:I349"/>
    <mergeCell ref="J349:P349"/>
    <mergeCell ref="B344:I344"/>
    <mergeCell ref="K344:P344"/>
    <mergeCell ref="B345:I345"/>
    <mergeCell ref="K345:P345"/>
    <mergeCell ref="B346:I346"/>
    <mergeCell ref="K346:P346"/>
    <mergeCell ref="B355:E355"/>
    <mergeCell ref="M354:P355"/>
    <mergeCell ref="F354:L358"/>
    <mergeCell ref="B354:E354"/>
    <mergeCell ref="B363:D363"/>
    <mergeCell ref="E363:J363"/>
    <mergeCell ref="L363:P363"/>
    <mergeCell ref="B364:D364"/>
    <mergeCell ref="E364:I364"/>
    <mergeCell ref="K364:L364"/>
    <mergeCell ref="C339:D339"/>
    <mergeCell ref="E339:F339"/>
    <mergeCell ref="G339:I339"/>
    <mergeCell ref="J339:K339"/>
    <mergeCell ref="L339:P339"/>
    <mergeCell ref="B340:I341"/>
    <mergeCell ref="J340:P343"/>
    <mergeCell ref="B342:I343"/>
    <mergeCell ref="B338:D338"/>
    <mergeCell ref="E338:F338"/>
    <mergeCell ref="G338:I338"/>
    <mergeCell ref="J338:L338"/>
    <mergeCell ref="M338:N338"/>
    <mergeCell ref="O338:P338"/>
    <mergeCell ref="C336:D336"/>
    <mergeCell ref="E336:F336"/>
    <mergeCell ref="G336:I336"/>
    <mergeCell ref="J336:K336"/>
    <mergeCell ref="L336:P336"/>
    <mergeCell ref="B337:P337"/>
    <mergeCell ref="B333:P334"/>
    <mergeCell ref="B335:D335"/>
    <mergeCell ref="E335:F335"/>
    <mergeCell ref="G335:I335"/>
    <mergeCell ref="J335:L335"/>
    <mergeCell ref="M335:N335"/>
    <mergeCell ref="O335:P335"/>
    <mergeCell ref="B332:C332"/>
    <mergeCell ref="D332:E332"/>
    <mergeCell ref="F332:G332"/>
    <mergeCell ref="H332:J332"/>
    <mergeCell ref="K332:N332"/>
    <mergeCell ref="O332:P332"/>
    <mergeCell ref="B330:D330"/>
    <mergeCell ref="E330:H330"/>
    <mergeCell ref="J330:P330"/>
    <mergeCell ref="B331:D331"/>
    <mergeCell ref="F331:G331"/>
    <mergeCell ref="I331:J331"/>
    <mergeCell ref="L331:M331"/>
    <mergeCell ref="O331:P331"/>
    <mergeCell ref="B328:D328"/>
    <mergeCell ref="E328:J328"/>
    <mergeCell ref="L328:P328"/>
    <mergeCell ref="B329:D329"/>
    <mergeCell ref="E329:I329"/>
    <mergeCell ref="K329:L329"/>
    <mergeCell ref="M329:N329"/>
    <mergeCell ref="O329:P329"/>
    <mergeCell ref="B326:D326"/>
    <mergeCell ref="E326:G326"/>
    <mergeCell ref="H326:I326"/>
    <mergeCell ref="K326:M326"/>
    <mergeCell ref="N326:P326"/>
    <mergeCell ref="B327:D327"/>
    <mergeCell ref="E327:I327"/>
    <mergeCell ref="J327:K327"/>
    <mergeCell ref="L327:P327"/>
    <mergeCell ref="C323:E323"/>
    <mergeCell ref="B324:P324"/>
    <mergeCell ref="B325:D325"/>
    <mergeCell ref="E325:G325"/>
    <mergeCell ref="H325:I325"/>
    <mergeCell ref="J325:L325"/>
    <mergeCell ref="M325:N325"/>
    <mergeCell ref="O325:P325"/>
    <mergeCell ref="B315:P315"/>
    <mergeCell ref="B317:G318"/>
    <mergeCell ref="I318:P318"/>
    <mergeCell ref="B319:E319"/>
    <mergeCell ref="F319:L323"/>
    <mergeCell ref="M319:P320"/>
    <mergeCell ref="B320:E320"/>
    <mergeCell ref="C321:E321"/>
    <mergeCell ref="C322:E322"/>
    <mergeCell ref="M322:P323"/>
    <mergeCell ref="B312:P312"/>
    <mergeCell ref="B313:B314"/>
    <mergeCell ref="C313:I313"/>
    <mergeCell ref="K313:M313"/>
    <mergeCell ref="C314:I314"/>
    <mergeCell ref="J314:P314"/>
    <mergeCell ref="B309:I309"/>
    <mergeCell ref="K309:P309"/>
    <mergeCell ref="B310:I310"/>
    <mergeCell ref="K310:P310"/>
    <mergeCell ref="B311:I311"/>
    <mergeCell ref="K311:P311"/>
    <mergeCell ref="C304:D304"/>
    <mergeCell ref="E304:F304"/>
    <mergeCell ref="G304:I304"/>
    <mergeCell ref="J304:K304"/>
    <mergeCell ref="L304:P304"/>
    <mergeCell ref="B305:I306"/>
    <mergeCell ref="J305:P308"/>
    <mergeCell ref="B307:I308"/>
    <mergeCell ref="B303:D303"/>
    <mergeCell ref="E303:F303"/>
    <mergeCell ref="G303:I303"/>
    <mergeCell ref="J303:L303"/>
    <mergeCell ref="M303:N303"/>
    <mergeCell ref="O303:P303"/>
    <mergeCell ref="C301:D301"/>
    <mergeCell ref="E301:F301"/>
    <mergeCell ref="G301:I301"/>
    <mergeCell ref="J301:K301"/>
    <mergeCell ref="L301:P301"/>
    <mergeCell ref="B302:P302"/>
    <mergeCell ref="B298:P299"/>
    <mergeCell ref="B300:D300"/>
    <mergeCell ref="E300:F300"/>
    <mergeCell ref="G300:I300"/>
    <mergeCell ref="J300:L300"/>
    <mergeCell ref="M300:N300"/>
    <mergeCell ref="O300:P300"/>
    <mergeCell ref="B297:C297"/>
    <mergeCell ref="D297:E297"/>
    <mergeCell ref="F297:G297"/>
    <mergeCell ref="H297:J297"/>
    <mergeCell ref="K297:N297"/>
    <mergeCell ref="O297:P297"/>
    <mergeCell ref="B295:D295"/>
    <mergeCell ref="E295:H295"/>
    <mergeCell ref="J295:P295"/>
    <mergeCell ref="B296:D296"/>
    <mergeCell ref="F296:G296"/>
    <mergeCell ref="I296:J296"/>
    <mergeCell ref="L296:M296"/>
    <mergeCell ref="O296:P296"/>
    <mergeCell ref="B293:D293"/>
    <mergeCell ref="E293:J293"/>
    <mergeCell ref="L293:P293"/>
    <mergeCell ref="B294:D294"/>
    <mergeCell ref="E294:I294"/>
    <mergeCell ref="K294:L294"/>
    <mergeCell ref="M294:N294"/>
    <mergeCell ref="O294:P294"/>
    <mergeCell ref="B291:D291"/>
    <mergeCell ref="E291:G291"/>
    <mergeCell ref="H291:I291"/>
    <mergeCell ref="K291:M291"/>
    <mergeCell ref="N291:P291"/>
    <mergeCell ref="B292:D292"/>
    <mergeCell ref="E292:I292"/>
    <mergeCell ref="J292:K292"/>
    <mergeCell ref="L292:P292"/>
    <mergeCell ref="C288:E288"/>
    <mergeCell ref="B289:P289"/>
    <mergeCell ref="B290:D290"/>
    <mergeCell ref="E290:G290"/>
    <mergeCell ref="H290:I290"/>
    <mergeCell ref="J290:L290"/>
    <mergeCell ref="M290:N290"/>
    <mergeCell ref="O290:P290"/>
    <mergeCell ref="B280:P280"/>
    <mergeCell ref="B282:G283"/>
    <mergeCell ref="I283:P283"/>
    <mergeCell ref="B284:E284"/>
    <mergeCell ref="F284:L288"/>
    <mergeCell ref="M284:P285"/>
    <mergeCell ref="B285:E285"/>
    <mergeCell ref="C286:E286"/>
    <mergeCell ref="C287:E287"/>
    <mergeCell ref="M287:P288"/>
    <mergeCell ref="B277:P277"/>
    <mergeCell ref="B278:B279"/>
    <mergeCell ref="C278:I278"/>
    <mergeCell ref="K278:M278"/>
    <mergeCell ref="C279:I279"/>
    <mergeCell ref="J279:P279"/>
    <mergeCell ref="B274:I274"/>
    <mergeCell ref="K274:P274"/>
    <mergeCell ref="B275:I275"/>
    <mergeCell ref="K275:P275"/>
    <mergeCell ref="B276:I276"/>
    <mergeCell ref="K276:P276"/>
    <mergeCell ref="C269:D269"/>
    <mergeCell ref="E269:F269"/>
    <mergeCell ref="G269:I269"/>
    <mergeCell ref="J269:K269"/>
    <mergeCell ref="L269:P269"/>
    <mergeCell ref="B270:I271"/>
    <mergeCell ref="J270:P273"/>
    <mergeCell ref="B272:I273"/>
    <mergeCell ref="B268:D268"/>
    <mergeCell ref="E268:F268"/>
    <mergeCell ref="G268:I268"/>
    <mergeCell ref="J268:L268"/>
    <mergeCell ref="M268:N268"/>
    <mergeCell ref="O268:P268"/>
    <mergeCell ref="C266:D266"/>
    <mergeCell ref="E266:F266"/>
    <mergeCell ref="G266:I266"/>
    <mergeCell ref="J266:K266"/>
    <mergeCell ref="L266:P266"/>
    <mergeCell ref="B267:P267"/>
    <mergeCell ref="B263:P264"/>
    <mergeCell ref="B265:D265"/>
    <mergeCell ref="E265:F265"/>
    <mergeCell ref="G265:I265"/>
    <mergeCell ref="J265:L265"/>
    <mergeCell ref="M265:N265"/>
    <mergeCell ref="O265:P265"/>
    <mergeCell ref="B262:C262"/>
    <mergeCell ref="D262:E262"/>
    <mergeCell ref="F262:G262"/>
    <mergeCell ref="H262:J262"/>
    <mergeCell ref="K262:N262"/>
    <mergeCell ref="O262:P262"/>
    <mergeCell ref="B260:D260"/>
    <mergeCell ref="E260:H260"/>
    <mergeCell ref="J260:P260"/>
    <mergeCell ref="B261:D261"/>
    <mergeCell ref="F261:G261"/>
    <mergeCell ref="I261:J261"/>
    <mergeCell ref="L261:M261"/>
    <mergeCell ref="O261:P261"/>
    <mergeCell ref="B258:D258"/>
    <mergeCell ref="E258:J258"/>
    <mergeCell ref="L258:P258"/>
    <mergeCell ref="B259:D259"/>
    <mergeCell ref="E259:I259"/>
    <mergeCell ref="K259:L259"/>
    <mergeCell ref="M259:N259"/>
    <mergeCell ref="O259:P259"/>
    <mergeCell ref="B256:D256"/>
    <mergeCell ref="E256:G256"/>
    <mergeCell ref="H256:I256"/>
    <mergeCell ref="K256:M256"/>
    <mergeCell ref="N256:P256"/>
    <mergeCell ref="B257:D257"/>
    <mergeCell ref="E257:I257"/>
    <mergeCell ref="J257:K257"/>
    <mergeCell ref="L257:P257"/>
    <mergeCell ref="C253:E253"/>
    <mergeCell ref="B254:P254"/>
    <mergeCell ref="B255:D255"/>
    <mergeCell ref="E255:G255"/>
    <mergeCell ref="H255:I255"/>
    <mergeCell ref="J255:L255"/>
    <mergeCell ref="M255:N255"/>
    <mergeCell ref="O255:P255"/>
    <mergeCell ref="B245:P245"/>
    <mergeCell ref="B247:G248"/>
    <mergeCell ref="I248:P248"/>
    <mergeCell ref="B249:E249"/>
    <mergeCell ref="F249:L253"/>
    <mergeCell ref="M249:P250"/>
    <mergeCell ref="B250:E250"/>
    <mergeCell ref="C251:E251"/>
    <mergeCell ref="C252:E252"/>
    <mergeCell ref="M252:P253"/>
    <mergeCell ref="B242:P242"/>
    <mergeCell ref="B243:B244"/>
    <mergeCell ref="C243:I243"/>
    <mergeCell ref="K243:M243"/>
    <mergeCell ref="C244:I244"/>
    <mergeCell ref="J244:P244"/>
    <mergeCell ref="B239:I239"/>
    <mergeCell ref="K239:P239"/>
    <mergeCell ref="B240:I240"/>
    <mergeCell ref="K240:P240"/>
    <mergeCell ref="B241:I241"/>
    <mergeCell ref="K241:P241"/>
    <mergeCell ref="C234:D234"/>
    <mergeCell ref="E234:F234"/>
    <mergeCell ref="G234:I234"/>
    <mergeCell ref="J234:K234"/>
    <mergeCell ref="L234:P234"/>
    <mergeCell ref="B235:I236"/>
    <mergeCell ref="J235:P238"/>
    <mergeCell ref="B237:I238"/>
    <mergeCell ref="B233:D233"/>
    <mergeCell ref="E233:F233"/>
    <mergeCell ref="G233:I233"/>
    <mergeCell ref="J233:L233"/>
    <mergeCell ref="M233:N233"/>
    <mergeCell ref="O233:P233"/>
    <mergeCell ref="C231:D231"/>
    <mergeCell ref="E231:F231"/>
    <mergeCell ref="G231:I231"/>
    <mergeCell ref="J231:K231"/>
    <mergeCell ref="L231:P231"/>
    <mergeCell ref="B232:P232"/>
    <mergeCell ref="B228:P229"/>
    <mergeCell ref="B230:D230"/>
    <mergeCell ref="E230:F230"/>
    <mergeCell ref="G230:I230"/>
    <mergeCell ref="J230:L230"/>
    <mergeCell ref="M230:N230"/>
    <mergeCell ref="O230:P230"/>
    <mergeCell ref="B227:C227"/>
    <mergeCell ref="D227:E227"/>
    <mergeCell ref="F227:G227"/>
    <mergeCell ref="H227:J227"/>
    <mergeCell ref="K227:N227"/>
    <mergeCell ref="O227:P227"/>
    <mergeCell ref="B225:D225"/>
    <mergeCell ref="E225:H225"/>
    <mergeCell ref="J225:P225"/>
    <mergeCell ref="B226:D226"/>
    <mergeCell ref="F226:G226"/>
    <mergeCell ref="I226:J226"/>
    <mergeCell ref="L226:M226"/>
    <mergeCell ref="O226:P226"/>
    <mergeCell ref="B223:D223"/>
    <mergeCell ref="E223:J223"/>
    <mergeCell ref="L223:P223"/>
    <mergeCell ref="B224:D224"/>
    <mergeCell ref="E224:I224"/>
    <mergeCell ref="K224:L224"/>
    <mergeCell ref="M224:N224"/>
    <mergeCell ref="O224:P224"/>
    <mergeCell ref="B221:D221"/>
    <mergeCell ref="E221:G221"/>
    <mergeCell ref="H221:I221"/>
    <mergeCell ref="K221:M221"/>
    <mergeCell ref="N221:P221"/>
    <mergeCell ref="B222:D222"/>
    <mergeCell ref="E222:I222"/>
    <mergeCell ref="J222:K222"/>
    <mergeCell ref="L222:P222"/>
    <mergeCell ref="C218:E218"/>
    <mergeCell ref="B219:P219"/>
    <mergeCell ref="B220:D220"/>
    <mergeCell ref="E220:G220"/>
    <mergeCell ref="H220:I220"/>
    <mergeCell ref="J220:L220"/>
    <mergeCell ref="M220:N220"/>
    <mergeCell ref="O220:P220"/>
    <mergeCell ref="B210:P210"/>
    <mergeCell ref="B212:G213"/>
    <mergeCell ref="I213:P213"/>
    <mergeCell ref="B214:E214"/>
    <mergeCell ref="F214:L218"/>
    <mergeCell ref="M214:P215"/>
    <mergeCell ref="B215:E215"/>
    <mergeCell ref="C216:E216"/>
    <mergeCell ref="C217:E217"/>
    <mergeCell ref="M217:P218"/>
    <mergeCell ref="B207:P207"/>
    <mergeCell ref="B208:B209"/>
    <mergeCell ref="C208:I208"/>
    <mergeCell ref="K208:M208"/>
    <mergeCell ref="C209:I209"/>
    <mergeCell ref="J209:P209"/>
    <mergeCell ref="B204:I204"/>
    <mergeCell ref="K204:P204"/>
    <mergeCell ref="B205:I205"/>
    <mergeCell ref="K205:P205"/>
    <mergeCell ref="B206:I206"/>
    <mergeCell ref="K206:P206"/>
    <mergeCell ref="C199:D199"/>
    <mergeCell ref="E199:F199"/>
    <mergeCell ref="G199:I199"/>
    <mergeCell ref="J199:K199"/>
    <mergeCell ref="L199:P199"/>
    <mergeCell ref="B200:I201"/>
    <mergeCell ref="J200:P203"/>
    <mergeCell ref="B202:I203"/>
    <mergeCell ref="B198:D198"/>
    <mergeCell ref="E198:F198"/>
    <mergeCell ref="G198:I198"/>
    <mergeCell ref="J198:L198"/>
    <mergeCell ref="M198:N198"/>
    <mergeCell ref="O198:P198"/>
    <mergeCell ref="C196:D196"/>
    <mergeCell ref="E196:F196"/>
    <mergeCell ref="G196:I196"/>
    <mergeCell ref="J196:K196"/>
    <mergeCell ref="L196:P196"/>
    <mergeCell ref="B197:P197"/>
    <mergeCell ref="B193:P194"/>
    <mergeCell ref="B195:D195"/>
    <mergeCell ref="E195:F195"/>
    <mergeCell ref="G195:I195"/>
    <mergeCell ref="J195:L195"/>
    <mergeCell ref="M195:N195"/>
    <mergeCell ref="O195:P195"/>
    <mergeCell ref="B192:C192"/>
    <mergeCell ref="D192:E192"/>
    <mergeCell ref="F192:G192"/>
    <mergeCell ref="H192:J192"/>
    <mergeCell ref="K192:N192"/>
    <mergeCell ref="O192:P192"/>
    <mergeCell ref="B190:D190"/>
    <mergeCell ref="E190:H190"/>
    <mergeCell ref="J190:P190"/>
    <mergeCell ref="B191:D191"/>
    <mergeCell ref="F191:G191"/>
    <mergeCell ref="I191:J191"/>
    <mergeCell ref="L191:M191"/>
    <mergeCell ref="O191:P191"/>
    <mergeCell ref="B188:D188"/>
    <mergeCell ref="E188:J188"/>
    <mergeCell ref="L188:P188"/>
    <mergeCell ref="B189:D189"/>
    <mergeCell ref="E189:I189"/>
    <mergeCell ref="K189:L189"/>
    <mergeCell ref="M189:N189"/>
    <mergeCell ref="O189:P189"/>
    <mergeCell ref="B186:D186"/>
    <mergeCell ref="E186:G186"/>
    <mergeCell ref="H186:I186"/>
    <mergeCell ref="K186:M186"/>
    <mergeCell ref="N186:P186"/>
    <mergeCell ref="B187:D187"/>
    <mergeCell ref="E187:I187"/>
    <mergeCell ref="J187:K187"/>
    <mergeCell ref="L187:P187"/>
    <mergeCell ref="C183:E183"/>
    <mergeCell ref="B184:P184"/>
    <mergeCell ref="B185:D185"/>
    <mergeCell ref="E185:G185"/>
    <mergeCell ref="H185:I185"/>
    <mergeCell ref="J185:L185"/>
    <mergeCell ref="M185:N185"/>
    <mergeCell ref="O185:P185"/>
    <mergeCell ref="B175:P175"/>
    <mergeCell ref="B177:G178"/>
    <mergeCell ref="I178:P178"/>
    <mergeCell ref="B179:E179"/>
    <mergeCell ref="F179:L183"/>
    <mergeCell ref="M179:P180"/>
    <mergeCell ref="B180:E180"/>
    <mergeCell ref="C181:E181"/>
    <mergeCell ref="C182:E182"/>
    <mergeCell ref="M182:P183"/>
    <mergeCell ref="B172:P172"/>
    <mergeCell ref="B173:B174"/>
    <mergeCell ref="C173:I173"/>
    <mergeCell ref="K173:M173"/>
    <mergeCell ref="C174:I174"/>
    <mergeCell ref="J174:P174"/>
    <mergeCell ref="B169:I169"/>
    <mergeCell ref="K169:P169"/>
    <mergeCell ref="B170:I170"/>
    <mergeCell ref="K170:P170"/>
    <mergeCell ref="B171:I171"/>
    <mergeCell ref="K171:P171"/>
    <mergeCell ref="C164:D164"/>
    <mergeCell ref="E164:F164"/>
    <mergeCell ref="G164:I164"/>
    <mergeCell ref="J164:K164"/>
    <mergeCell ref="L164:P164"/>
    <mergeCell ref="B165:I166"/>
    <mergeCell ref="J165:P168"/>
    <mergeCell ref="B167:I168"/>
    <mergeCell ref="B163:D163"/>
    <mergeCell ref="E163:F163"/>
    <mergeCell ref="G163:I163"/>
    <mergeCell ref="J163:L163"/>
    <mergeCell ref="M163:N163"/>
    <mergeCell ref="O163:P163"/>
    <mergeCell ref="C161:D161"/>
    <mergeCell ref="E161:F161"/>
    <mergeCell ref="G161:I161"/>
    <mergeCell ref="J161:K161"/>
    <mergeCell ref="L161:P161"/>
    <mergeCell ref="B162:P162"/>
    <mergeCell ref="B158:P159"/>
    <mergeCell ref="B160:D160"/>
    <mergeCell ref="E160:F160"/>
    <mergeCell ref="G160:I160"/>
    <mergeCell ref="J160:L160"/>
    <mergeCell ref="M160:N160"/>
    <mergeCell ref="O160:P160"/>
    <mergeCell ref="B157:C157"/>
    <mergeCell ref="D157:E157"/>
    <mergeCell ref="F157:G157"/>
    <mergeCell ref="H157:J157"/>
    <mergeCell ref="K157:N157"/>
    <mergeCell ref="O157:P157"/>
    <mergeCell ref="B155:D155"/>
    <mergeCell ref="E155:H155"/>
    <mergeCell ref="J155:P155"/>
    <mergeCell ref="B156:D156"/>
    <mergeCell ref="F156:G156"/>
    <mergeCell ref="I156:J156"/>
    <mergeCell ref="L156:M156"/>
    <mergeCell ref="O156:P156"/>
    <mergeCell ref="B153:D153"/>
    <mergeCell ref="E153:J153"/>
    <mergeCell ref="L153:P153"/>
    <mergeCell ref="B154:D154"/>
    <mergeCell ref="E154:I154"/>
    <mergeCell ref="K154:L154"/>
    <mergeCell ref="M154:N154"/>
    <mergeCell ref="O154:P154"/>
    <mergeCell ref="B151:D151"/>
    <mergeCell ref="E151:G151"/>
    <mergeCell ref="H151:I151"/>
    <mergeCell ref="K151:M151"/>
    <mergeCell ref="N151:P151"/>
    <mergeCell ref="B152:D152"/>
    <mergeCell ref="E152:I152"/>
    <mergeCell ref="J152:K152"/>
    <mergeCell ref="L152:P152"/>
    <mergeCell ref="C148:E148"/>
    <mergeCell ref="B149:P149"/>
    <mergeCell ref="B150:D150"/>
    <mergeCell ref="E150:G150"/>
    <mergeCell ref="H150:I150"/>
    <mergeCell ref="J150:L150"/>
    <mergeCell ref="M150:N150"/>
    <mergeCell ref="O150:P150"/>
    <mergeCell ref="B140:P140"/>
    <mergeCell ref="B142:G143"/>
    <mergeCell ref="I143:P143"/>
    <mergeCell ref="B144:E144"/>
    <mergeCell ref="F144:L148"/>
    <mergeCell ref="M144:P145"/>
    <mergeCell ref="B145:E145"/>
    <mergeCell ref="C146:E146"/>
    <mergeCell ref="C147:E147"/>
    <mergeCell ref="M147:P148"/>
    <mergeCell ref="B137:P137"/>
    <mergeCell ref="B138:B139"/>
    <mergeCell ref="C138:I138"/>
    <mergeCell ref="K138:M138"/>
    <mergeCell ref="C139:I139"/>
    <mergeCell ref="J139:P139"/>
    <mergeCell ref="B134:I134"/>
    <mergeCell ref="K134:P134"/>
    <mergeCell ref="B135:I135"/>
    <mergeCell ref="K135:P135"/>
    <mergeCell ref="B136:I136"/>
    <mergeCell ref="K136:P136"/>
    <mergeCell ref="C129:D129"/>
    <mergeCell ref="E129:F129"/>
    <mergeCell ref="G129:I129"/>
    <mergeCell ref="J129:K129"/>
    <mergeCell ref="L129:P129"/>
    <mergeCell ref="B130:I131"/>
    <mergeCell ref="J130:P133"/>
    <mergeCell ref="B132:I133"/>
    <mergeCell ref="B128:D128"/>
    <mergeCell ref="E128:F128"/>
    <mergeCell ref="G128:I128"/>
    <mergeCell ref="J128:L128"/>
    <mergeCell ref="M128:N128"/>
    <mergeCell ref="O128:P128"/>
    <mergeCell ref="C126:D126"/>
    <mergeCell ref="E126:F126"/>
    <mergeCell ref="G126:I126"/>
    <mergeCell ref="J126:K126"/>
    <mergeCell ref="L126:P126"/>
    <mergeCell ref="B127:P127"/>
    <mergeCell ref="B123:P124"/>
    <mergeCell ref="B125:D125"/>
    <mergeCell ref="E125:F125"/>
    <mergeCell ref="G125:I125"/>
    <mergeCell ref="J125:L125"/>
    <mergeCell ref="M125:N125"/>
    <mergeCell ref="O125:P125"/>
    <mergeCell ref="B122:C122"/>
    <mergeCell ref="D122:E122"/>
    <mergeCell ref="F122:G122"/>
    <mergeCell ref="H122:J122"/>
    <mergeCell ref="K122:N122"/>
    <mergeCell ref="O122:P122"/>
    <mergeCell ref="B120:D120"/>
    <mergeCell ref="E120:H120"/>
    <mergeCell ref="J120:P120"/>
    <mergeCell ref="B121:D121"/>
    <mergeCell ref="F121:G121"/>
    <mergeCell ref="I121:J121"/>
    <mergeCell ref="L121:M121"/>
    <mergeCell ref="O121:P121"/>
    <mergeCell ref="B118:D118"/>
    <mergeCell ref="E118:J118"/>
    <mergeCell ref="L118:P118"/>
    <mergeCell ref="B119:D119"/>
    <mergeCell ref="E119:I119"/>
    <mergeCell ref="K119:L119"/>
    <mergeCell ref="M119:N119"/>
    <mergeCell ref="O119:P119"/>
    <mergeCell ref="B116:D116"/>
    <mergeCell ref="E116:G116"/>
    <mergeCell ref="H116:I116"/>
    <mergeCell ref="K116:M116"/>
    <mergeCell ref="N116:P116"/>
    <mergeCell ref="B117:D117"/>
    <mergeCell ref="E117:I117"/>
    <mergeCell ref="J117:K117"/>
    <mergeCell ref="L117:P117"/>
    <mergeCell ref="C113:E113"/>
    <mergeCell ref="B114:P114"/>
    <mergeCell ref="B115:D115"/>
    <mergeCell ref="E115:G115"/>
    <mergeCell ref="H115:I115"/>
    <mergeCell ref="J115:L115"/>
    <mergeCell ref="M115:N115"/>
    <mergeCell ref="O115:P115"/>
    <mergeCell ref="B105:P105"/>
    <mergeCell ref="B107:G108"/>
    <mergeCell ref="I108:P108"/>
    <mergeCell ref="B109:E109"/>
    <mergeCell ref="F109:L113"/>
    <mergeCell ref="M109:P110"/>
    <mergeCell ref="B110:E110"/>
    <mergeCell ref="C111:E111"/>
    <mergeCell ref="C112:E112"/>
    <mergeCell ref="M112:P113"/>
    <mergeCell ref="B102:P102"/>
    <mergeCell ref="B103:B104"/>
    <mergeCell ref="C103:I103"/>
    <mergeCell ref="K103:M103"/>
    <mergeCell ref="C104:I104"/>
    <mergeCell ref="J104:P104"/>
    <mergeCell ref="B99:I99"/>
    <mergeCell ref="K99:P99"/>
    <mergeCell ref="B100:I100"/>
    <mergeCell ref="K100:P100"/>
    <mergeCell ref="B101:I101"/>
    <mergeCell ref="K101:P101"/>
    <mergeCell ref="C94:D94"/>
    <mergeCell ref="E94:F94"/>
    <mergeCell ref="G94:I94"/>
    <mergeCell ref="J94:K94"/>
    <mergeCell ref="L94:P94"/>
    <mergeCell ref="B95:I96"/>
    <mergeCell ref="J95:P98"/>
    <mergeCell ref="B97:I98"/>
    <mergeCell ref="B93:D93"/>
    <mergeCell ref="E93:F93"/>
    <mergeCell ref="G93:I93"/>
    <mergeCell ref="J93:L93"/>
    <mergeCell ref="M93:N93"/>
    <mergeCell ref="O93:P93"/>
    <mergeCell ref="C91:D91"/>
    <mergeCell ref="E91:F91"/>
    <mergeCell ref="G91:I91"/>
    <mergeCell ref="J91:K91"/>
    <mergeCell ref="L91:P91"/>
    <mergeCell ref="B92:P92"/>
    <mergeCell ref="B88:P89"/>
    <mergeCell ref="B90:D90"/>
    <mergeCell ref="E90:F90"/>
    <mergeCell ref="G90:I90"/>
    <mergeCell ref="J90:L90"/>
    <mergeCell ref="M90:N90"/>
    <mergeCell ref="O90:P90"/>
    <mergeCell ref="B87:C87"/>
    <mergeCell ref="D87:E87"/>
    <mergeCell ref="F87:G87"/>
    <mergeCell ref="H87:J87"/>
    <mergeCell ref="K87:N87"/>
    <mergeCell ref="O87:P87"/>
    <mergeCell ref="B85:D85"/>
    <mergeCell ref="E85:H85"/>
    <mergeCell ref="J85:P85"/>
    <mergeCell ref="B86:D86"/>
    <mergeCell ref="F86:G86"/>
    <mergeCell ref="I86:J86"/>
    <mergeCell ref="L86:M86"/>
    <mergeCell ref="O86:P86"/>
    <mergeCell ref="B83:D83"/>
    <mergeCell ref="E83:J83"/>
    <mergeCell ref="L83:P83"/>
    <mergeCell ref="B84:D84"/>
    <mergeCell ref="E84:I84"/>
    <mergeCell ref="K84:L84"/>
    <mergeCell ref="M84:N84"/>
    <mergeCell ref="O84:P84"/>
    <mergeCell ref="B81:D81"/>
    <mergeCell ref="E81:G81"/>
    <mergeCell ref="H81:I81"/>
    <mergeCell ref="K81:M81"/>
    <mergeCell ref="N81:P81"/>
    <mergeCell ref="B82:D82"/>
    <mergeCell ref="E82:I82"/>
    <mergeCell ref="J82:K82"/>
    <mergeCell ref="L82:P82"/>
    <mergeCell ref="C78:E78"/>
    <mergeCell ref="B79:P79"/>
    <mergeCell ref="B80:D80"/>
    <mergeCell ref="E80:G80"/>
    <mergeCell ref="H80:I80"/>
    <mergeCell ref="J80:L80"/>
    <mergeCell ref="M80:N80"/>
    <mergeCell ref="O80:P80"/>
    <mergeCell ref="B70:P70"/>
    <mergeCell ref="B72:G73"/>
    <mergeCell ref="I73:P73"/>
    <mergeCell ref="B74:E74"/>
    <mergeCell ref="F74:L78"/>
    <mergeCell ref="M74:P75"/>
    <mergeCell ref="B75:E75"/>
    <mergeCell ref="C76:E76"/>
    <mergeCell ref="C77:E77"/>
    <mergeCell ref="M77:P78"/>
    <mergeCell ref="B67:P67"/>
    <mergeCell ref="B68:B69"/>
    <mergeCell ref="C68:I68"/>
    <mergeCell ref="K68:M68"/>
    <mergeCell ref="C69:I69"/>
    <mergeCell ref="J69:P69"/>
    <mergeCell ref="B64:I64"/>
    <mergeCell ref="K64:P64"/>
    <mergeCell ref="B65:I65"/>
    <mergeCell ref="K65:P65"/>
    <mergeCell ref="B66:I66"/>
    <mergeCell ref="K66:P66"/>
    <mergeCell ref="C59:D59"/>
    <mergeCell ref="E59:F59"/>
    <mergeCell ref="G59:I59"/>
    <mergeCell ref="J59:K59"/>
    <mergeCell ref="L59:P59"/>
    <mergeCell ref="B60:I61"/>
    <mergeCell ref="J60:P63"/>
    <mergeCell ref="B62:I63"/>
    <mergeCell ref="B58:D58"/>
    <mergeCell ref="E58:F58"/>
    <mergeCell ref="G58:I58"/>
    <mergeCell ref="J58:L58"/>
    <mergeCell ref="M58:N58"/>
    <mergeCell ref="O58:P58"/>
    <mergeCell ref="C56:D56"/>
    <mergeCell ref="E56:F56"/>
    <mergeCell ref="G56:I56"/>
    <mergeCell ref="J56:K56"/>
    <mergeCell ref="L56:P56"/>
    <mergeCell ref="B57:P57"/>
    <mergeCell ref="B53:P54"/>
    <mergeCell ref="B55:D55"/>
    <mergeCell ref="E55:F55"/>
    <mergeCell ref="G55:I55"/>
    <mergeCell ref="J55:L55"/>
    <mergeCell ref="M55:N55"/>
    <mergeCell ref="O55:P55"/>
    <mergeCell ref="B52:C52"/>
    <mergeCell ref="D52:E52"/>
    <mergeCell ref="F52:G52"/>
    <mergeCell ref="H52:J52"/>
    <mergeCell ref="K52:N52"/>
    <mergeCell ref="O52:P52"/>
    <mergeCell ref="B50:D50"/>
    <mergeCell ref="E50:H50"/>
    <mergeCell ref="J50:P50"/>
    <mergeCell ref="B51:D51"/>
    <mergeCell ref="F51:G51"/>
    <mergeCell ref="I51:J51"/>
    <mergeCell ref="L51:M51"/>
    <mergeCell ref="O51:P51"/>
    <mergeCell ref="B48:D48"/>
    <mergeCell ref="E48:J48"/>
    <mergeCell ref="L48:P48"/>
    <mergeCell ref="B49:D49"/>
    <mergeCell ref="E49:I49"/>
    <mergeCell ref="K49:L49"/>
    <mergeCell ref="M49:N49"/>
    <mergeCell ref="O49:P49"/>
    <mergeCell ref="B46:D46"/>
    <mergeCell ref="E46:G46"/>
    <mergeCell ref="H46:I46"/>
    <mergeCell ref="K46:M46"/>
    <mergeCell ref="N46:P46"/>
    <mergeCell ref="B47:D47"/>
    <mergeCell ref="E47:I47"/>
    <mergeCell ref="J47:K47"/>
    <mergeCell ref="L47:P47"/>
    <mergeCell ref="C43:E43"/>
    <mergeCell ref="B44:P44"/>
    <mergeCell ref="B45:D45"/>
    <mergeCell ref="E45:G45"/>
    <mergeCell ref="H45:I45"/>
    <mergeCell ref="J45:L45"/>
    <mergeCell ref="M45:N45"/>
    <mergeCell ref="O45:P45"/>
    <mergeCell ref="B35:P35"/>
    <mergeCell ref="B37:G38"/>
    <mergeCell ref="I38:P38"/>
    <mergeCell ref="B39:E39"/>
    <mergeCell ref="F39:L43"/>
    <mergeCell ref="M39:P40"/>
    <mergeCell ref="B40:E40"/>
    <mergeCell ref="C41:E41"/>
    <mergeCell ref="C42:E42"/>
    <mergeCell ref="M42:P43"/>
    <mergeCell ref="B32:P32"/>
    <mergeCell ref="B33:B34"/>
    <mergeCell ref="C33:I33"/>
    <mergeCell ref="K33:M33"/>
    <mergeCell ref="C34:I34"/>
    <mergeCell ref="J34:P34"/>
    <mergeCell ref="B29:I29"/>
    <mergeCell ref="K29:P29"/>
    <mergeCell ref="B30:I30"/>
    <mergeCell ref="K30:P30"/>
    <mergeCell ref="B31:I31"/>
    <mergeCell ref="K31:P31"/>
    <mergeCell ref="C24:D24"/>
    <mergeCell ref="E24:F24"/>
    <mergeCell ref="G24:I24"/>
    <mergeCell ref="J24:K24"/>
    <mergeCell ref="L24:P24"/>
    <mergeCell ref="B25:I26"/>
    <mergeCell ref="J25:P28"/>
    <mergeCell ref="B27:I28"/>
    <mergeCell ref="B23:D23"/>
    <mergeCell ref="E23:F23"/>
    <mergeCell ref="G23:I23"/>
    <mergeCell ref="J23:L23"/>
    <mergeCell ref="M23:N23"/>
    <mergeCell ref="O23:P23"/>
    <mergeCell ref="C21:D21"/>
    <mergeCell ref="E21:F21"/>
    <mergeCell ref="G21:I21"/>
    <mergeCell ref="J21:K21"/>
    <mergeCell ref="L21:P21"/>
    <mergeCell ref="B22:P22"/>
    <mergeCell ref="O17:P17"/>
    <mergeCell ref="B18:P19"/>
    <mergeCell ref="B20:D20"/>
    <mergeCell ref="E20:F20"/>
    <mergeCell ref="G20:I20"/>
    <mergeCell ref="J20:L20"/>
    <mergeCell ref="M20:N20"/>
    <mergeCell ref="O20:P20"/>
    <mergeCell ref="C8:E8"/>
    <mergeCell ref="B9:P9"/>
    <mergeCell ref="B10:D10"/>
    <mergeCell ref="E10:G10"/>
    <mergeCell ref="H10:I10"/>
    <mergeCell ref="J10:L10"/>
    <mergeCell ref="M10:N10"/>
    <mergeCell ref="B16:D16"/>
    <mergeCell ref="F16:G16"/>
    <mergeCell ref="I16:J16"/>
    <mergeCell ref="L16:M16"/>
    <mergeCell ref="O16:P16"/>
    <mergeCell ref="B17:C17"/>
    <mergeCell ref="D17:E17"/>
    <mergeCell ref="F17:G17"/>
    <mergeCell ref="H17:J17"/>
    <mergeCell ref="K17:N17"/>
    <mergeCell ref="B14:D14"/>
    <mergeCell ref="E14:I14"/>
    <mergeCell ref="K14:L14"/>
    <mergeCell ref="M14:N14"/>
    <mergeCell ref="O14:P14"/>
    <mergeCell ref="B15:D15"/>
    <mergeCell ref="E15:H15"/>
    <mergeCell ref="J15:P15"/>
    <mergeCell ref="A1:A35"/>
    <mergeCell ref="B2:G3"/>
    <mergeCell ref="B4:E4"/>
    <mergeCell ref="M4:P5"/>
    <mergeCell ref="I353:P353"/>
    <mergeCell ref="B5:E5"/>
    <mergeCell ref="O367:P367"/>
    <mergeCell ref="M357:P358"/>
    <mergeCell ref="C357:E357"/>
    <mergeCell ref="B352:G353"/>
    <mergeCell ref="B367:C367"/>
    <mergeCell ref="D367:E367"/>
    <mergeCell ref="F367:G367"/>
    <mergeCell ref="H367:J367"/>
    <mergeCell ref="K367:N367"/>
    <mergeCell ref="C356:E356"/>
    <mergeCell ref="B12:D12"/>
    <mergeCell ref="E12:I12"/>
    <mergeCell ref="J12:K12"/>
    <mergeCell ref="L12:P12"/>
    <mergeCell ref="B13:D13"/>
    <mergeCell ref="E13:J13"/>
    <mergeCell ref="L13:P13"/>
    <mergeCell ref="O10:P10"/>
    <mergeCell ref="B11:D11"/>
    <mergeCell ref="E11:G11"/>
    <mergeCell ref="H11:I11"/>
    <mergeCell ref="K11:M11"/>
    <mergeCell ref="N11:P11"/>
    <mergeCell ref="C6:E6"/>
    <mergeCell ref="C7:E7"/>
    <mergeCell ref="M7:P8"/>
  </mergeCells>
  <phoneticPr fontId="30" type="noConversion"/>
  <conditionalFormatting sqref="B33:B34 B68:B69 B103:B104 B138:B139 B173:B174 B208:B209 B243:B244 B278:B279 B313:B314 B348:B349 B383:B384 B418:B419 B453:B454 B488:B489 B523:B524 B558:B559 B593:B594 B628:B629 B663:B664 B698:B699 B733:B734 B768:B769 B803:B804 B838:B839 B873:B874 B908:B909 B943:B944 B978:B979 B1013:B1014 B1048:B1049 B1083:B1084 B1118:B1119 B1153:B1154 B1188:B1189 B1223:B1224 B1258:B1259 B1293:B1294 B1328:B1329 B1363:B1364 B1398:B1399 B1433:B1434 B1468:B1469 B1503:B1504 B1538:B1539 B1573:B1574 B1608:B1609 B1643:B1644 B1678:B1679 B1713:B1714 B1748:B1749 B1783:B1784 B1818:B1819 B1853:B1854 B1888:B1889 B1923:B1924 B1958:B1959 B1993:B1994 B2028:B2029 B2063:B2064 B2098:B2099">
    <cfRule type="cellIs" dxfId="5" priority="1" stopIfTrue="1" operator="equal">
      <formula>"No"</formula>
    </cfRule>
  </conditionalFormatting>
  <conditionalFormatting sqref="R10:T11 R2075:T2076 R2040:T2041 R2005:T2006 R1970:T1971 R1935:T1936 R1900:T1901 R1865:T1866 R1830:T1831 R1795:T1796 R1760:T1761 R1725:T1726 R1690:T1691 R1655:T1656 R1620:T1621 R1585:T1586 R1550:T1551 R1515:T1516 R1480:T1481 R1445:T1446 R1410:T1411 R1375:T1376 R1340:T1341 R1305:T1306 R1270:T1271 R1235:T1236 R1200:T1201 R1165:T1166 R1130:T1131 R1095:T1096 R1060:T1061 R1025:T1026 R990:T991 R955:T956 R920:T921 R885:T886 R850:T851 R815:T816 R780:T781 R745:T746 R710:T711 R675:T676 R640:T641 R605:T606 R570:T571 R535:T536 R500:T501 R465:T466 R430:T431 R395:T396 R360:T361 R325:T326 R290:T291 R255:T256 R220:T221 R185:T186 R150:T151 R115:T116 R80:T81 R45:T46">
    <cfRule type="expression" dxfId="4" priority="2" stopIfTrue="1">
      <formula>$R12=4</formula>
    </cfRule>
  </conditionalFormatting>
  <conditionalFormatting sqref="R84:R90 R49:R55 R2044:R2050 R2079:R2085 R119:R125 R154:R160 R189:R195 R224:R230 R259:R265 R294:R300 R329:R335 R364:R370 R399:R405 R434:R440 R469:R475 R504:R510 R539:R545 R574:R580 R609:R615 R644:R650 R679:R685 R714:R720 R749:R755 R784:R790 R819:R825 R854:R860 R889:R895 R924:R930 R959:R965 R994:R1000 R1029:R1035 R1064:R1070 R1099:R1105 R1134:R1140 R1169:R1175 R1204:R1210 R1239:R1245 R1274:R1280 R1309:R1315 R1344:R1350 R1379:R1385 R1414:R1420 R1449:R1455 R1484:R1490 R1519:R1525 R1554:R1560 R1589:R1595 R1624:R1630 R1659:R1665 R1694:R1700 R1729:R1735 R1764:R1770 R1799:R1805 R1834:R1840 R1869:R1875 R1904:R1910 R1939:R1945 R1974:R1980 R2009:R2015 R14:R20">
    <cfRule type="cellIs" dxfId="3" priority="3" stopIfTrue="1" operator="equal">
      <formula>"P"</formula>
    </cfRule>
  </conditionalFormatting>
  <conditionalFormatting sqref="R12 R1972 R2007 R2042 R47 R82 R117 R152 R187 R222 R257 R292 R327 R362 R397 R432 R467 R502 R537 R572 R607 R642 R677 R712 R747 R782 R817 R852 R887 R922 R957 R992 R1027 R1062 R1097 R1132 R1167 R1202 R1237 R1272 R1307 R1342 R1377 R1412 R1447 R1482 R1517 R1552 R1587 R1622 R1657 R1692 R1727 R1762 R1797 R1832 R1867 R1902 R1937 R2077">
    <cfRule type="cellIs" dxfId="2" priority="4" stopIfTrue="1" operator="equal">
      <formula>"P"</formula>
    </cfRule>
  </conditionalFormatting>
  <conditionalFormatting sqref="S2077 S2042 S2007 S1972 S1937 S1902 S1867 S1832 S1797 S1762 S1727 S1692 S1657 S1622 S1587 S1552 S1517 S1482 S1447 S1412 S1377 S1342 S1307 S1272 S1237 S1202 S1167 S1132 S1097 S1062 S1027 S992 S957 S922 S887 S852 S817 S782 S747 S712 S677 S642 S607 S572 S537 S502 S467 S432 S397 S362 S327 S292 S257 S222 S187 S152 S117 S82 S47 S12">
    <cfRule type="expression" dxfId="1" priority="5" stopIfTrue="1">
      <formula>COUNTIF($R14:$R20,"P")=7</formula>
    </cfRule>
  </conditionalFormatting>
  <conditionalFormatting sqref="S84:S90 S49:S55 S2044:S2050 S2079:S2085 S119:S125 S154:S160 S189:S195 S224:S230 S259:S265 S294:S300 S329:S335 S364:S370 S399:S405 S434:S440 S469:S475 S504:S510 S539:S545 S574:S580 S609:S615 S644:S650 S679:S685 S714:S720 S749:S755 S784:S790 S819:S825 S854:S860 S889:S895 S924:S930 S959:S965 S994:S1000 S1029:S1035 S1064:S1070 S1099:S1105 S1134:S1140 S1169:S1175 S1204:S1210 S1239:S1245 S1274:S1280 S1309:S1315 S1344:S1350 S1379:S1385 S1414:S1420 S1449:S1455 S1484:S1490 S1519:S1525 S1554:S1560 S1589:S1595 S1624:S1630 S1659:S1665 S1694:S1700 S1729:S1735 S1764:S1770 S1799:S1805 S1834:S1840 S1869:S1875 S1904:S1910 S1939:S1945 S1974:S1980 S2009:S2015 S14:S20">
    <cfRule type="expression" dxfId="0" priority="6" stopIfTrue="1">
      <formula>$R14="P"</formula>
    </cfRule>
  </conditionalFormatting>
  <dataValidations xWindow="730" yWindow="375" count="12">
    <dataValidation type="list" allowBlank="1" showInputMessage="1" showErrorMessage="1" sqref="B1013:B1014 B943:B944 B978:B979 B873:B874 O892:P892 B803:B804 O822:P822 B733:B734 O752:P752 B663:B664 O682:P682 B593:B594 O612:P612 B523:B524 O542:P542 B453:B454 O472:P472 O402:P402 B313:B314 O2047:P2047 B243:B244 O262:P262 B173:B174 O192:P192 O122:P122 B103:B104 O52:P52 B33:B34 B2098:B2099 O297:P297 O2012:P2012 B68:B69 O87:P87 B138:B139 O157:P157 O227:P227 B208:B209 O332:P332 B278:B279 O2082:P2082 B348:B349 O437:P437 B418:B419 O507:P507 B488:B489 O577:P577 B558:B559 O647:P647 B628:B629 O717:P717 B698:B699 O787:P787 B768:B769 O857:P857 B838:B839 O927:P927 B908:B909 O962:P962 O17:P17 B1048:B1049 O997:P997 B1083:B1084 O1032:P1032 B1118:B1119 O1067:P1067 B1153:B1154 O1102:P1102 B1188:B1189 O1137:P1137 B1223:B1224 O1172:P1172 B1258:B1259 O1207:P1207 B1293:B1294 O1242:P1242 B1328:B1329 O1277:P1277 B1363:B1364 O1312:P1312 B1398:B1399 O1347:P1347 B1433:B1434 O1382:P1382 B1468:B1469 O1417:P1417 B1503:B1504 O1452:P1452 B1538:B1539 O1487:P1487 B1573:B1574 O1522:P1522 B1608:B1609 O1557:P1557 B1643:B1644 O1592:P1592 B1678:B1679 O1627:P1627 B1713:B1714 O1662:P1662 B1748:B1749 O1697:P1697 B1783:B1784 O1732:P1732 B1818:B1819 O1767:P1767 B1853:B1854 O1802:P1802 B1888:B1889 O1837:P1837 B1923:B1924 O1872:P1872 B1958:B1959 O1907:P1907 B1993:B1994 O1942:P1942 B2028:B2029 O1977:P1977 B2063:B2064 B383 O367:P367">
      <formula1>YesNo</formula1>
    </dataValidation>
    <dataValidation type="list" allowBlank="1" showInputMessage="1" showErrorMessage="1" sqref="G1001 G966 G969 G896 G899 G826 G829 G756 G759 G686 G689 G616 G619 G546 G549 G476 G479 G406 G409 G336 G339 G266 G269 G196 G199 G126 G129 G56 G59 G21 G24 G931 G1004 G91 G94 G161 G164 G231 G234 G301 G304 G371 G374 G441 G444 G511 G514 G581 G584 G651 G654 G721 G724 G791 G794 G861 G864 G934 G1036 G1039 G1071 G1074 G1106 G1109 G1141 G1144 G1176 G1179 G1211 G1214 G1246 G1249 G1281 G1284 G1316 G1319 G1351 G1354 G1386 G1389 G1421 G1424 G1456 G1459 G1491 G1494 G1526 G1529 G1561 G1564 G1596 G1599 G1631 G1634 G1666 G1669 G1701 G1704 G1736 G1739 G1771 G1774 G1806 G1809 G1841 G1844 G1876 G1879 G1911 G1914 G1946 G1949 G1981 G1984 G2016 G2019 G2051 G2054 G2086 G2089">
      <formula1>class</formula1>
    </dataValidation>
    <dataValidation type="list" allowBlank="1" showInputMessage="1" showErrorMessage="1" sqref="C1001 C966 C969 C1004 C896 C899 C1494 C826 C829 C1806 C756 C759 C1491 C686 C689 C1844 C616 C619 C1876 C546 C549 C1459 C476 C479 C1914 C406 C409 C1946 C336 C339 C1561 C266 C269 C1984 C2016 C196 C199 C1421 C126 C129 C2054 C56 C59 C2086 C21 C24 C1596 C2089 C1631 C91 C94 C2051 C161 C164 C2019 C1424 C231 C234 C1981 C301 C304 C1949 C371 C374 C1456 C441 C444 C1911 C511 C514 C1879 C581 C584 C1599 C651 C654 C1841 C721 C724 C1809 C791 C794 C1774 C861 C864 C1771 C931 C934 C1036 C1039 C1739 C1071 C1074 C1736 C1106 C1109 C1526 C1141 C1144 C1704 C1176 C1179 C1701 C1211 C1214 C1529 C1246 C1249 C1669 C1281 C1284 C1666 C1316 C1319 C1564 C1351 C1354 C1634 C1386 C1389">
      <formula1>level2</formula1>
    </dataValidation>
    <dataValidation type="list" allowBlank="1" showInputMessage="1" showErrorMessage="1" sqref="E1000 E965 E968 E895 E898 E825 E828 E755 E758 E685 E688 E615 E618 E545 E548 E475 E478 E405 E408 E335 E338 E265 E268 E195 E198 E125 E128 E55 E58 E20 E23 E930 E1003 E90 E93 E160 E163 E230 E233 E300 E303 E370 E373 E440 E443 E510 E513 E580 E583 E650 E653 E720 E723 E790 E793 E860 E863 E933 E1035 E1038 E1070 E1073 E1105 E1108 E1140 E1143 E1175 E1178 E1210 E1213 E1245 E1248 E1280 E1283 E1315 E1318 E1350 E1353 E1385 E1388 E1420 E1423 E1455 E1458 E1490 E1493 E1525 E1528 E1560 E1563 E1595 E1598 E1630 E1633 E1665 E1668 E1700 E1703 E1735 E1738 E1770 E1773 E1805 E1808 E1840 E1843 E1875 E1878 E1910 E1913 E1945 E1948 E1980 E1983 E2015 E2018 E2050 E2053 E2085 E2088">
      <formula1>body</formula1>
    </dataValidation>
    <dataValidation type="list" allowBlank="1" showInputMessage="1" showErrorMessage="1" sqref="F961 F926 F856 F786 F716 F646 F576 F506 F436 F2081 F296 F226 F156 F86 F2046 F16 F891 F51 F121 F191 F261 F331 F401 F471 F541 F611 F681 F751 F821 F996 F1031 F1066 F1101 F1136 F1171 F1206 F1241 F1276 F1311 F1346 F1381 F1416 F1451 F1486 F1521 F1556 F1591 F1626 F1661 F1696 F1731 F1766 F1801 F1836 F1871 F1906 F1941 F1976 F2011 F366">
      <formula1>Date</formula1>
    </dataValidation>
    <dataValidation type="list" allowBlank="1" showInputMessage="1" showErrorMessage="1" sqref="I961 I926 I856 I786 I716 I646 I576 I506 I436 I2081 I296 I226 I156 I86 I2046 I16 I891 I51 I121 I191 I261 I331 I401 I471 I541 I611 I681 I751 I821 I996 I1031 I1066 I1101 I1136 I1171 I1206 I1241 I1276 I1311 I1346 I1381 I1416 I1451 I1486 I1521 I1556 I1591 I1626 I1661 I1696 I1731 I1766 I1801 I1836 I1871 I1906 I1941 I1976 I2011 I366">
      <formula1>Month</formula1>
    </dataValidation>
    <dataValidation type="list" allowBlank="1" showInputMessage="1" showErrorMessage="1" sqref="H962:J962 H927:J927 H892:J892 H822:J822 H752:J752 H682:J682 H612:J612 H542:J542 H472:J472 H402:J402 H2047:J2047 H262:J262 H192:J192 H122:J122 H52:J52 H17:J17 H2012:J2012 H87:J87 H157:J157 H227:J227 H332:J332 H2082:J2082 H437:J437 H507:J507 H577:J577 H647:J647 H717:J717 H787:J787 H857:J857 H297:J297 H997:J997 H1032:J1032 H1067:J1067 H1102:J1102 H1137:J1137 H1172:J1172 H1207:J1207 H1242:J1242 H1277:J1277 H1312:J1312 H1347:J1347 H1382:J1382 H1417:J1417 H1452:J1452 H1487:J1487 H1522:J1522 H1557:J1557 H1592:J1592 H1627:J1627 H1662:J1662 H1697:J1697 H1732:J1732 H1767:J1767 H1802:J1802 H1837:J1837 H1872:J1872 H1907:J1907 H1942:J1942 H1977:J1977 H367:J367">
      <formula1>Height</formula1>
    </dataValidation>
    <dataValidation type="textLength" operator="equal" allowBlank="1" showInputMessage="1" showErrorMessage="1" error="Member ID must be 6 numbers long." sqref="O990 O955 O885 O850 O780 O710 O640 O570 O500 O430 O360 O290 O220 O150 O80 O45 O2075 O115 O185 O255 O325 O395 O465 O535 O605 O675 O745 O815 O920 O1025 O1060 O1095 O1130 O1165 O1200 O1235 O1270 O1305 O1340 O1375 O1410 O1445 O1480 O1515 O1550 O1585 O1620 O1655 O1690 O1725 O1760 O1795 O1830 O1865 O1900 O1935 O1970 O2005 O2040">
      <formula1>6</formula1>
    </dataValidation>
    <dataValidation type="list" allowBlank="1" showInputMessage="1" showErrorMessage="1" sqref="L961:M961 L926:M926 L856:M856 L786:M786 L716:M716 L646:M646 L576:M576 L506:M506 L436:M436 L2081:M2081 L296:M296 L226:M226 L156:M156 L86:M86 L2046:M2046 L16:M16 L891:M891 L51:M51 L121:M121 L191:M191 L261:M261 L331:M331 L401:M401 L471:M471 L541:M541 L611:M611 L681:M681 L751:M751 L821:M821 L996:M996 L1031:M1031 L1066:M1066 L1101:M1101 L1136:M1136 L1171:M1171 L1206:M1206 L1241:M1241 L1276:M1276 L1311:M1311 L1346:M1346 L1381:M1381 L1416:M1416 L1451:M1451 L1486:M1486 L1521:M1521 L1556:M1556 L1591:M1591 L1626:M1626 L1661:M1661 L1696:M1696 L1731:M1731 L1766:M1766 L1801:M1801 L1836:M1836 L1871:M1871 L1906:M1906 L1941:M1941 L1976:M1976 L2011:M2011 L366">
      <formula1>Year</formula1>
    </dataValidation>
    <dataValidation type="list" allowBlank="1" showInputMessage="1" showErrorMessage="1" sqref="K14:L14 K84:L84 K2044:L2044 K49:L49 K119:L119 K154:L154 K189:L189 K224:L224 K259:L259 K294:L294 K329:L329 K2079:L2079 K399:L399 K434:L434 K469:L469 K504:L504 K539:L539 K574:L574 K609:L609 K644:L644 K679:L679 K714:L714 K749:L749 K784:L784 K819:L819 K854:L854 K889:L889 K924:L924 K959:L959 K994:L994 K1029:L1029 K1064:L1064 K1099:L1099 K1134:L1134 K1169:L1169 K1204:L1204 K1239:L1239 K1274:L1274 K1309:L1309 K1344:L1344 K1379:L1379 K1414:L1414 K1449:L1449 K1484:L1484 K1519:L1519 K1554:L1554 K1589:L1589 K1624:L1624 K1659:L1659 K1694:L1694 K1729:L1729 K1764:L1764 K1799:L1799 K1834:L1834 K1869:L1869 K1904:L1904 K1939:L1939 K1974:L1974 K2009:L2009 K364">
      <formula1>Province</formula1>
    </dataValidation>
    <dataValidation allowBlank="1" showInputMessage="1" showErrorMessage="1" prompt="Don't forget we require your candidate's height to process the Entry.  Simply choose from the easy drop-down list provided." sqref="L12:P12 L1972:P1972 L2042:P2042 L47:P47 L82:P82 L117:P117 L152:P152 L187:P187 L222:P222 L257:P257 L292:P292 L2007:P2007 L327:P327 L362:P362 L397:P397 L432:P432 L467:P467 L502:P502 L537:P537 L572:P572 L607:P607 L642:P642 L677:P677 L712:P712 L747:P747 L782:P782 L817:P817 L852:P852 L887:P887 L922:P922 L957:P957 L992:P992 L1027:P1027 L1062:P1062 L1097:P1097 L1132:P1132 L1167:P1167 L1202:P1202 L1237:P1237 L1272:P1272 L1307:P1307 L1342:P1342 L1377:P1377 L1412:P1412 L1447:P1447 L1482:P1482 L1517:P1517 L1552:P1552 L1587:P1587 L1622:P1622 L1657:P1657 L1692:P1692 L1727:P1727 L1762:P1762 L1797:P1797 L1832:P1832 L1867:P1867 L1902:P1902 L1937:P1937 L2077:P2077"/>
    <dataValidation operator="equal" allowBlank="1" showInputMessage="1" showErrorMessage="1" error="Candidate ID must be 6 numbers long." sqref="E11:G11 E46:G46 E81:G81 E116:G116 E151:G151 E186:G186 E221:G221 E256:G256 E291:G291 E326:G326 E2041:G2041 E361:G361 E396:G396 E431:G431 E466:G466 E501:G501 E536:G536 E571:G571 E606:G606 E641:G641 E676:G676 E711:G711 E746:G746 E781:G781 E816:G816 E851:G851 E886:G886 E921:G921 E956:G956 E991:G991 E1026:G1026 E1061:G1061 E1096:G1096 E1131:G1131 E1166:G1166 E1201:G1201 E1236:G1236 E1271:G1271 E1306:G1306 E1341:G1341 E1376:G1376 E1411:G1411 E1446:G1446 E1481:G1481 E1516:G1516 E1551:G1551 E1586:G1586 E1621:G1621 E1656:G1656 E1691:G1691 E1726:G1726 E1761:G1761 E1796:G1796 E1831:G1831 E1866:G1866 E1901:G1901 E1936:G1936 E1971:G1971 E2006:G2006 E2076:G2076"/>
  </dataValidations>
  <pageMargins left="0.75000000000000011" right="0.75000000000000011" top="1" bottom="1" header="0.5" footer="0.5"/>
  <pageSetup orientation="landscape" horizontalDpi="4294967292" verticalDpi="4294967292"/>
  <rowBreaks count="59" manualBreakCount="59">
    <brk id="35" max="16383" man="1"/>
    <brk id="70" max="16383" man="1"/>
    <brk id="105" max="16383" man="1"/>
    <brk id="140" max="16383" man="1"/>
    <brk id="175" max="16383" man="1"/>
    <brk id="210" max="16383" man="1"/>
    <brk id="245" max="16383" man="1"/>
    <brk id="280" max="16383" man="1"/>
    <brk id="315" max="16383" man="1"/>
    <brk id="350" max="16383" man="1"/>
    <brk id="385" max="16383" man="1"/>
    <brk id="420" max="16383" man="1"/>
    <brk id="455" max="16383" man="1"/>
    <brk id="490" max="16383" man="1"/>
    <brk id="525" max="16383" man="1"/>
    <brk id="560" max="16383" man="1"/>
    <brk id="595" max="16383" man="1"/>
    <brk id="630" max="16383" man="1"/>
    <brk id="665" max="16383" man="1"/>
    <brk id="700" max="16383" man="1"/>
    <brk id="735" max="16383" man="1"/>
    <brk id="770" max="16383" man="1"/>
    <brk id="805" max="16383" man="1"/>
    <brk id="840" max="16383" man="1"/>
    <brk id="875" max="16383" man="1"/>
    <brk id="910" max="16383" man="1"/>
    <brk id="945" max="16383" man="1"/>
    <brk id="980" max="16383" man="1"/>
    <brk id="1015" max="16383" man="1"/>
    <brk id="1050" max="16383" man="1"/>
    <brk id="1085" max="16383" man="1"/>
    <brk id="1120" max="16383" man="1"/>
    <brk id="1155" max="16383" man="1"/>
    <brk id="1190" max="16383" man="1"/>
    <brk id="1225" max="16383" man="1"/>
    <brk id="1260" max="16383" man="1"/>
    <brk id="1295" max="16383" man="1"/>
    <brk id="1330" max="16383" man="1"/>
    <brk id="1365" max="16383" man="1"/>
    <brk id="1400" max="16383" man="1"/>
    <brk id="1435" max="16383" man="1"/>
    <brk id="1470" max="16383" man="1"/>
    <brk id="1505" max="16383" man="1"/>
    <brk id="1540" max="16383" man="1"/>
    <brk id="1575" max="16383" man="1"/>
    <brk id="1610" max="16383" man="1"/>
    <brk id="1645" max="16383" man="1"/>
    <brk id="1680" max="16383" man="1"/>
    <brk id="1715" max="16383" man="1"/>
    <brk id="1750" max="16383" man="1"/>
    <brk id="1785" max="16383" man="1"/>
    <brk id="1820" max="16383" man="1"/>
    <brk id="1855" max="16383" man="1"/>
    <brk id="1890" max="16383" man="1"/>
    <brk id="1925" max="16383" man="1"/>
    <brk id="1960" max="16383" man="1"/>
    <brk id="1995" max="16383" man="1"/>
    <brk id="2030" max="16383" man="1"/>
    <brk id="2065" max="16383" man="1"/>
  </rowBreak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5"/>
  <sheetViews>
    <sheetView zoomScale="125" zoomScaleNormal="125" zoomScalePageLayoutView="125" workbookViewId="0">
      <selection activeCell="B95" sqref="B95:B110"/>
    </sheetView>
  </sheetViews>
  <sheetFormatPr defaultColWidth="8.85546875" defaultRowHeight="12.75" x14ac:dyDescent="0.2"/>
  <cols>
    <col min="1" max="1" width="12.140625" customWidth="1"/>
    <col min="2" max="2" width="32.140625" customWidth="1"/>
    <col min="13" max="13" width="19.42578125" bestFit="1" customWidth="1"/>
    <col min="16" max="16" width="10.7109375" bestFit="1" customWidth="1"/>
    <col min="17" max="17" width="13.85546875" bestFit="1" customWidth="1"/>
    <col min="18" max="18" width="17.7109375" bestFit="1" customWidth="1"/>
    <col min="19" max="19" width="15.140625" bestFit="1" customWidth="1"/>
    <col min="23" max="23" width="16" bestFit="1" customWidth="1"/>
    <col min="29" max="29" width="6.7109375" customWidth="1"/>
    <col min="30" max="30" width="10" bestFit="1" customWidth="1"/>
    <col min="31" max="31" width="7.85546875" bestFit="1" customWidth="1"/>
    <col min="32" max="32" width="6.28515625" customWidth="1"/>
    <col min="33" max="33" width="4.7109375" customWidth="1"/>
    <col min="34" max="34" width="4" customWidth="1"/>
    <col min="35" max="35" width="9.140625" customWidth="1"/>
    <col min="36" max="36" width="9" customWidth="1"/>
  </cols>
  <sheetData>
    <row r="1" spans="1:36" x14ac:dyDescent="0.2">
      <c r="M1" t="s">
        <v>94</v>
      </c>
      <c r="N1" t="s">
        <v>214</v>
      </c>
      <c r="O1" t="s">
        <v>153</v>
      </c>
      <c r="P1" t="s">
        <v>154</v>
      </c>
      <c r="Q1" t="s">
        <v>17</v>
      </c>
      <c r="R1" t="s">
        <v>18</v>
      </c>
      <c r="S1" s="57" t="s">
        <v>19</v>
      </c>
      <c r="T1" s="57" t="s">
        <v>138</v>
      </c>
      <c r="U1" s="57" t="s">
        <v>218</v>
      </c>
      <c r="V1" s="128" t="s">
        <v>139</v>
      </c>
      <c r="W1" s="57" t="s">
        <v>144</v>
      </c>
      <c r="AA1" t="s">
        <v>145</v>
      </c>
      <c r="AB1" t="s">
        <v>146</v>
      </c>
      <c r="AE1" t="s">
        <v>24</v>
      </c>
      <c r="AI1" s="94" t="s">
        <v>0</v>
      </c>
      <c r="AJ1" s="94">
        <v>2018</v>
      </c>
    </row>
    <row r="2" spans="1:36" x14ac:dyDescent="0.2">
      <c r="A2" s="11">
        <v>1</v>
      </c>
      <c r="M2" t="s">
        <v>287</v>
      </c>
      <c r="N2" t="s">
        <v>215</v>
      </c>
      <c r="O2" t="s">
        <v>245</v>
      </c>
      <c r="P2">
        <v>1</v>
      </c>
      <c r="Q2" t="s">
        <v>255</v>
      </c>
      <c r="R2" t="s">
        <v>13</v>
      </c>
      <c r="S2" s="60" t="s">
        <v>333</v>
      </c>
      <c r="T2" s="86" t="s">
        <v>232</v>
      </c>
      <c r="U2">
        <v>1</v>
      </c>
      <c r="V2" s="129">
        <v>2005</v>
      </c>
      <c r="W2" t="s">
        <v>243</v>
      </c>
      <c r="X2">
        <v>118</v>
      </c>
      <c r="Y2" s="59">
        <f t="shared" ref="Y2:Y42" si="0">X2/2.54/12</f>
        <v>3.8713910761154859</v>
      </c>
      <c r="Z2">
        <f>ROUND((Y2-3)*12,1)</f>
        <v>10.5</v>
      </c>
      <c r="AA2" s="58" t="s">
        <v>84</v>
      </c>
      <c r="AB2" t="s">
        <v>85</v>
      </c>
      <c r="AC2" t="s">
        <v>86</v>
      </c>
      <c r="AE2" t="s">
        <v>25</v>
      </c>
      <c r="AF2" t="s">
        <v>181</v>
      </c>
      <c r="AI2" s="57" t="s">
        <v>73</v>
      </c>
      <c r="AJ2" s="57" t="s">
        <v>74</v>
      </c>
    </row>
    <row r="3" spans="1:36" x14ac:dyDescent="0.2">
      <c r="A3" s="131" t="s">
        <v>328</v>
      </c>
      <c r="M3" t="s">
        <v>288</v>
      </c>
      <c r="N3" t="s">
        <v>216</v>
      </c>
      <c r="O3" t="s">
        <v>246</v>
      </c>
      <c r="P3">
        <v>2</v>
      </c>
      <c r="Q3" t="s">
        <v>147</v>
      </c>
      <c r="R3" t="s">
        <v>88</v>
      </c>
      <c r="S3" s="60" t="s">
        <v>106</v>
      </c>
      <c r="T3" s="86" t="s">
        <v>89</v>
      </c>
      <c r="U3">
        <v>2</v>
      </c>
      <c r="V3" s="129">
        <v>2004</v>
      </c>
      <c r="W3" t="s">
        <v>267</v>
      </c>
      <c r="X3">
        <f t="shared" ref="X3:X15" si="1">X2+2</f>
        <v>120</v>
      </c>
      <c r="Y3" s="59">
        <f t="shared" si="0"/>
        <v>3.9370078740157481</v>
      </c>
      <c r="Z3">
        <f>ROUND((Y3-3)*12,1)</f>
        <v>11.2</v>
      </c>
      <c r="AA3" s="58" t="s">
        <v>268</v>
      </c>
      <c r="AB3">
        <v>1</v>
      </c>
      <c r="AC3" t="e">
        <f>VLOOKUP($AE3,$AF$3:$AG$8,2,FALSE)</f>
        <v>#N/A</v>
      </c>
      <c r="AD3" s="60" t="s">
        <v>269</v>
      </c>
      <c r="AE3" s="57" t="str">
        <f>'Candidate Personal Info (VEF2)'!J11</f>
        <v/>
      </c>
      <c r="AF3" s="57" t="s">
        <v>26</v>
      </c>
      <c r="AG3" s="90">
        <v>11</v>
      </c>
      <c r="AI3" s="95">
        <f>DATE(AJ1,1,1)</f>
        <v>43101</v>
      </c>
      <c r="AJ3" s="95">
        <f>DATE(AJ1,9,1)</f>
        <v>43344</v>
      </c>
    </row>
    <row r="4" spans="1:36" s="4" customFormat="1" ht="32.1" customHeight="1" x14ac:dyDescent="0.2">
      <c r="A4" s="3" t="s">
        <v>219</v>
      </c>
      <c r="B4" s="3" t="s">
        <v>220</v>
      </c>
      <c r="C4" s="3" t="s">
        <v>286</v>
      </c>
      <c r="D4" s="8" t="s">
        <v>287</v>
      </c>
      <c r="E4" s="3" t="s">
        <v>288</v>
      </c>
      <c r="F4" s="3" t="s">
        <v>95</v>
      </c>
      <c r="G4" s="3" t="s">
        <v>96</v>
      </c>
      <c r="H4" s="3" t="s">
        <v>189</v>
      </c>
      <c r="I4" s="3" t="s">
        <v>190</v>
      </c>
      <c r="M4" t="s">
        <v>95</v>
      </c>
      <c r="N4"/>
      <c r="O4" t="s">
        <v>247</v>
      </c>
      <c r="P4">
        <v>3</v>
      </c>
      <c r="Q4" t="s">
        <v>87</v>
      </c>
      <c r="R4" t="s">
        <v>271</v>
      </c>
      <c r="S4" s="60" t="s">
        <v>332</v>
      </c>
      <c r="T4" s="86" t="s">
        <v>135</v>
      </c>
      <c r="U4">
        <v>3</v>
      </c>
      <c r="V4" s="129">
        <v>2003</v>
      </c>
      <c r="W4" t="s">
        <v>136</v>
      </c>
      <c r="X4">
        <f t="shared" si="1"/>
        <v>122</v>
      </c>
      <c r="Y4" s="59">
        <f t="shared" si="0"/>
        <v>4.0026246719160108</v>
      </c>
      <c r="Z4">
        <f>ROUND((Y4-4)*12,1)</f>
        <v>0</v>
      </c>
      <c r="AA4"/>
      <c r="AB4">
        <f>AB3+1</f>
        <v>2</v>
      </c>
      <c r="AC4" t="e">
        <f t="shared" ref="AC4:AC62" si="2">VLOOKUP($AE4,$AF$3:$AG$8,2,FALSE)</f>
        <v>#N/A</v>
      </c>
      <c r="AD4"/>
      <c r="AE4" s="57" t="str">
        <f>'Candidate Personal Info (VEF2)'!J46</f>
        <v/>
      </c>
      <c r="AF4" s="89" t="s">
        <v>27</v>
      </c>
      <c r="AG4" s="89">
        <v>12</v>
      </c>
    </row>
    <row r="5" spans="1:36" s="1" customFormat="1" x14ac:dyDescent="0.2">
      <c r="A5" s="1">
        <v>1</v>
      </c>
      <c r="B5" s="2" t="s">
        <v>312</v>
      </c>
      <c r="C5" s="2" t="s">
        <v>313</v>
      </c>
      <c r="D5" s="1">
        <v>279</v>
      </c>
      <c r="E5" s="1">
        <v>289</v>
      </c>
      <c r="F5" s="1">
        <v>304</v>
      </c>
      <c r="G5" s="1">
        <v>311</v>
      </c>
      <c r="H5" s="1">
        <v>321</v>
      </c>
      <c r="I5" s="1">
        <v>458</v>
      </c>
      <c r="M5" t="s">
        <v>96</v>
      </c>
      <c r="N5"/>
      <c r="O5" t="s">
        <v>248</v>
      </c>
      <c r="P5">
        <v>4</v>
      </c>
      <c r="Q5" t="s">
        <v>270</v>
      </c>
      <c r="R5" t="s">
        <v>324</v>
      </c>
      <c r="S5" s="60" t="s">
        <v>334</v>
      </c>
      <c r="T5" s="86" t="s">
        <v>185</v>
      </c>
      <c r="U5">
        <v>4</v>
      </c>
      <c r="V5" s="129">
        <v>2002</v>
      </c>
      <c r="W5" t="s">
        <v>265</v>
      </c>
      <c r="X5">
        <f t="shared" si="1"/>
        <v>124</v>
      </c>
      <c r="Y5" s="59">
        <f t="shared" si="0"/>
        <v>4.0682414698162725</v>
      </c>
      <c r="Z5">
        <f t="shared" ref="Z5:Z19" si="3">ROUND((Y5-4)*12,1)</f>
        <v>0.8</v>
      </c>
      <c r="AA5"/>
      <c r="AB5">
        <f t="shared" ref="AB5:AB62" si="4">AB4+1</f>
        <v>3</v>
      </c>
      <c r="AC5" t="e">
        <f t="shared" si="2"/>
        <v>#N/A</v>
      </c>
      <c r="AD5"/>
      <c r="AE5" s="57" t="str">
        <f>'Candidate Personal Info (VEF2)'!J81</f>
        <v/>
      </c>
      <c r="AF5" s="90" t="s">
        <v>28</v>
      </c>
      <c r="AG5" s="97">
        <v>13</v>
      </c>
      <c r="AI5" s="99" t="s">
        <v>279</v>
      </c>
      <c r="AJ5" s="99" t="s">
        <v>279</v>
      </c>
    </row>
    <row r="6" spans="1:36" s="1" customFormat="1" x14ac:dyDescent="0.2">
      <c r="A6" s="1">
        <v>2</v>
      </c>
      <c r="B6" s="2" t="s">
        <v>314</v>
      </c>
      <c r="C6" s="2" t="s">
        <v>296</v>
      </c>
      <c r="D6" s="1">
        <v>211</v>
      </c>
      <c r="E6" s="1">
        <v>221</v>
      </c>
      <c r="F6" s="1">
        <v>233</v>
      </c>
      <c r="G6" s="1">
        <v>236</v>
      </c>
      <c r="H6" s="1">
        <v>248</v>
      </c>
      <c r="I6" s="1">
        <v>351</v>
      </c>
      <c r="M6" t="s">
        <v>189</v>
      </c>
      <c r="N6"/>
      <c r="O6" t="s">
        <v>249</v>
      </c>
      <c r="P6">
        <v>5</v>
      </c>
      <c r="Q6" t="s">
        <v>137</v>
      </c>
      <c r="R6"/>
      <c r="S6"/>
      <c r="T6" s="86" t="s">
        <v>129</v>
      </c>
      <c r="U6">
        <v>5</v>
      </c>
      <c r="V6" s="129">
        <v>2001</v>
      </c>
      <c r="W6" t="s">
        <v>148</v>
      </c>
      <c r="X6">
        <f t="shared" si="1"/>
        <v>126</v>
      </c>
      <c r="Y6" s="59">
        <f t="shared" si="0"/>
        <v>4.1338582677165352</v>
      </c>
      <c r="Z6">
        <f t="shared" si="3"/>
        <v>1.6</v>
      </c>
      <c r="AA6"/>
      <c r="AB6">
        <f t="shared" si="4"/>
        <v>4</v>
      </c>
      <c r="AC6" t="e">
        <f t="shared" si="2"/>
        <v>#N/A</v>
      </c>
      <c r="AD6"/>
      <c r="AE6" s="57" t="str">
        <f>'Candidate Personal Info (VEF2)'!J116</f>
        <v/>
      </c>
      <c r="AF6" s="90" t="s">
        <v>29</v>
      </c>
      <c r="AG6" s="97">
        <v>14</v>
      </c>
      <c r="AI6" s="98" t="s">
        <v>280</v>
      </c>
      <c r="AJ6" s="98" t="s">
        <v>194</v>
      </c>
    </row>
    <row r="7" spans="1:36" s="1" customFormat="1" x14ac:dyDescent="0.2">
      <c r="A7" s="1">
        <v>3</v>
      </c>
      <c r="B7" s="2" t="s">
        <v>34</v>
      </c>
      <c r="C7" s="2" t="s">
        <v>35</v>
      </c>
      <c r="D7" s="1">
        <v>5590</v>
      </c>
      <c r="E7" s="1">
        <v>5790</v>
      </c>
      <c r="F7" s="1">
        <v>5990</v>
      </c>
      <c r="G7" s="1">
        <v>6215</v>
      </c>
      <c r="H7" s="1">
        <v>6420</v>
      </c>
      <c r="I7" s="1">
        <v>7140</v>
      </c>
      <c r="M7" t="s">
        <v>190</v>
      </c>
      <c r="N7"/>
      <c r="O7" t="s">
        <v>213</v>
      </c>
      <c r="P7">
        <v>6</v>
      </c>
      <c r="Q7" t="s">
        <v>266</v>
      </c>
      <c r="R7"/>
      <c r="S7"/>
      <c r="T7" s="86" t="s">
        <v>149</v>
      </c>
      <c r="U7">
        <v>6</v>
      </c>
      <c r="V7" s="127">
        <v>2000</v>
      </c>
      <c r="W7" t="s">
        <v>150</v>
      </c>
      <c r="X7" s="60">
        <f t="shared" si="1"/>
        <v>128</v>
      </c>
      <c r="Y7" s="61">
        <f t="shared" si="0"/>
        <v>4.1994750656167978</v>
      </c>
      <c r="Z7">
        <f t="shared" si="3"/>
        <v>2.4</v>
      </c>
      <c r="AA7"/>
      <c r="AB7">
        <f t="shared" si="4"/>
        <v>5</v>
      </c>
      <c r="AC7" t="e">
        <f t="shared" si="2"/>
        <v>#N/A</v>
      </c>
      <c r="AD7"/>
      <c r="AE7" s="57" t="str">
        <f>'Candidate Personal Info (VEF2)'!J151</f>
        <v/>
      </c>
      <c r="AF7" s="90" t="s">
        <v>30</v>
      </c>
      <c r="AG7" s="97">
        <v>15</v>
      </c>
      <c r="AI7" s="89"/>
      <c r="AJ7" s="89"/>
    </row>
    <row r="8" spans="1:36" s="1" customFormat="1" x14ac:dyDescent="0.2">
      <c r="A8" s="1">
        <v>4</v>
      </c>
      <c r="B8" s="5" t="s">
        <v>315</v>
      </c>
      <c r="C8" s="2" t="s">
        <v>108</v>
      </c>
      <c r="D8" s="1">
        <v>635</v>
      </c>
      <c r="E8" s="1">
        <v>660</v>
      </c>
      <c r="F8" s="1">
        <v>685</v>
      </c>
      <c r="G8" s="1">
        <v>710</v>
      </c>
      <c r="H8" s="1">
        <v>735</v>
      </c>
      <c r="I8" s="1">
        <v>890</v>
      </c>
      <c r="M8"/>
      <c r="N8"/>
      <c r="O8"/>
      <c r="P8">
        <v>7</v>
      </c>
      <c r="Q8" t="s">
        <v>183</v>
      </c>
      <c r="R8"/>
      <c r="S8"/>
      <c r="T8" s="86" t="s">
        <v>107</v>
      </c>
      <c r="U8">
        <v>7</v>
      </c>
      <c r="V8" s="127">
        <f t="shared" ref="V8:V43" si="5">V7-1</f>
        <v>1999</v>
      </c>
      <c r="W8" t="s">
        <v>303</v>
      </c>
      <c r="X8">
        <f t="shared" si="1"/>
        <v>130</v>
      </c>
      <c r="Y8" s="59">
        <f t="shared" si="0"/>
        <v>4.2650918635170605</v>
      </c>
      <c r="Z8">
        <f t="shared" si="3"/>
        <v>3.2</v>
      </c>
      <c r="AA8"/>
      <c r="AB8">
        <f t="shared" si="4"/>
        <v>6</v>
      </c>
      <c r="AC8" t="e">
        <f t="shared" si="2"/>
        <v>#N/A</v>
      </c>
      <c r="AD8"/>
      <c r="AE8" s="57" t="str">
        <f>'Candidate Personal Info (VEF2)'!J186</f>
        <v/>
      </c>
      <c r="AF8" s="90" t="s">
        <v>31</v>
      </c>
      <c r="AG8" s="97">
        <v>15</v>
      </c>
      <c r="AI8" s="99" t="s">
        <v>284</v>
      </c>
      <c r="AJ8" s="99" t="s">
        <v>284</v>
      </c>
    </row>
    <row r="9" spans="1:36" s="1" customFormat="1" x14ac:dyDescent="0.2">
      <c r="A9" s="1">
        <v>5</v>
      </c>
      <c r="B9" s="5" t="s">
        <v>109</v>
      </c>
      <c r="C9" s="2" t="s">
        <v>46</v>
      </c>
      <c r="D9" s="1">
        <v>227</v>
      </c>
      <c r="E9" s="1">
        <v>238</v>
      </c>
      <c r="F9" s="1">
        <v>253</v>
      </c>
      <c r="G9" s="1">
        <v>259</v>
      </c>
      <c r="H9" s="1">
        <v>280</v>
      </c>
      <c r="I9" s="1">
        <v>332</v>
      </c>
      <c r="M9"/>
      <c r="N9"/>
      <c r="O9"/>
      <c r="P9">
        <v>8</v>
      </c>
      <c r="Q9"/>
      <c r="R9"/>
      <c r="S9"/>
      <c r="T9" s="86" t="s">
        <v>304</v>
      </c>
      <c r="U9">
        <v>8</v>
      </c>
      <c r="V9" s="127">
        <f t="shared" si="5"/>
        <v>1998</v>
      </c>
      <c r="W9" t="s">
        <v>316</v>
      </c>
      <c r="X9">
        <f t="shared" si="1"/>
        <v>132</v>
      </c>
      <c r="Y9" s="59">
        <f t="shared" si="0"/>
        <v>4.3307086614173231</v>
      </c>
      <c r="Z9">
        <f t="shared" si="3"/>
        <v>4</v>
      </c>
      <c r="AA9"/>
      <c r="AB9">
        <f t="shared" si="4"/>
        <v>7</v>
      </c>
      <c r="AC9" t="e">
        <f t="shared" si="2"/>
        <v>#N/A</v>
      </c>
      <c r="AD9"/>
      <c r="AE9" s="57" t="str">
        <f>'Candidate Personal Info (VEF2)'!J221</f>
        <v/>
      </c>
      <c r="AF9" s="90"/>
      <c r="AI9" s="100">
        <v>31</v>
      </c>
      <c r="AJ9" s="100">
        <v>1</v>
      </c>
    </row>
    <row r="10" spans="1:36" s="1" customFormat="1" x14ac:dyDescent="0.2">
      <c r="A10" s="119">
        <v>6</v>
      </c>
      <c r="B10" s="120" t="s">
        <v>47</v>
      </c>
      <c r="C10" s="120" t="s">
        <v>48</v>
      </c>
      <c r="D10" s="119">
        <v>169</v>
      </c>
      <c r="E10" s="119">
        <v>184</v>
      </c>
      <c r="F10" s="119">
        <v>199</v>
      </c>
      <c r="G10" s="119">
        <v>204</v>
      </c>
      <c r="H10" s="119">
        <v>214</v>
      </c>
      <c r="I10" s="119">
        <v>360</v>
      </c>
      <c r="M10"/>
      <c r="N10"/>
      <c r="O10"/>
      <c r="P10">
        <v>9</v>
      </c>
      <c r="Q10"/>
      <c r="R10"/>
      <c r="S10"/>
      <c r="T10" s="86" t="s">
        <v>317</v>
      </c>
      <c r="U10">
        <v>9</v>
      </c>
      <c r="V10" s="127">
        <f t="shared" si="5"/>
        <v>1997</v>
      </c>
      <c r="W10" t="s">
        <v>130</v>
      </c>
      <c r="X10">
        <f t="shared" si="1"/>
        <v>134</v>
      </c>
      <c r="Y10" s="59">
        <f t="shared" si="0"/>
        <v>4.3963254593175849</v>
      </c>
      <c r="Z10">
        <f t="shared" si="3"/>
        <v>4.8</v>
      </c>
      <c r="AA10"/>
      <c r="AB10">
        <f t="shared" si="4"/>
        <v>8</v>
      </c>
      <c r="AC10" t="e">
        <f t="shared" si="2"/>
        <v>#N/A</v>
      </c>
      <c r="AD10"/>
      <c r="AE10" s="57" t="str">
        <f>'Candidate Personal Info (VEF2)'!J256</f>
        <v/>
      </c>
      <c r="AF10" s="90"/>
      <c r="AI10" s="89"/>
      <c r="AJ10" s="89"/>
    </row>
    <row r="11" spans="1:36" s="1" customFormat="1" x14ac:dyDescent="0.2">
      <c r="A11" s="1">
        <v>7</v>
      </c>
      <c r="B11" s="5" t="s">
        <v>49</v>
      </c>
      <c r="C11" s="2" t="s">
        <v>125</v>
      </c>
      <c r="D11" s="1">
        <v>1070</v>
      </c>
      <c r="E11" s="1">
        <v>1180</v>
      </c>
      <c r="F11" s="1">
        <v>1235</v>
      </c>
      <c r="G11" s="1">
        <v>1270</v>
      </c>
      <c r="H11" s="1">
        <v>1315</v>
      </c>
      <c r="I11" s="1">
        <v>1610</v>
      </c>
      <c r="M11"/>
      <c r="N11"/>
      <c r="O11"/>
      <c r="P11">
        <v>10</v>
      </c>
      <c r="Q11"/>
      <c r="R11"/>
      <c r="S11"/>
      <c r="T11" s="86" t="s">
        <v>122</v>
      </c>
      <c r="U11">
        <v>10</v>
      </c>
      <c r="V11" s="127">
        <f t="shared" si="5"/>
        <v>1996</v>
      </c>
      <c r="W11" t="s">
        <v>123</v>
      </c>
      <c r="X11">
        <f t="shared" si="1"/>
        <v>136</v>
      </c>
      <c r="Y11" s="59">
        <f t="shared" si="0"/>
        <v>4.4619422572178475</v>
      </c>
      <c r="Z11">
        <f t="shared" si="3"/>
        <v>5.5</v>
      </c>
      <c r="AA11"/>
      <c r="AB11">
        <f t="shared" si="4"/>
        <v>9</v>
      </c>
      <c r="AC11" t="e">
        <f t="shared" si="2"/>
        <v>#N/A</v>
      </c>
      <c r="AD11"/>
      <c r="AE11" s="57" t="str">
        <f>'Candidate Personal Info (VEF2)'!J291</f>
        <v/>
      </c>
      <c r="AF11" s="90"/>
      <c r="AI11" s="551" t="s">
        <v>259</v>
      </c>
      <c r="AJ11" s="552"/>
    </row>
    <row r="12" spans="1:36" s="1" customFormat="1" x14ac:dyDescent="0.2">
      <c r="A12" s="1">
        <v>8</v>
      </c>
      <c r="B12" s="5" t="s">
        <v>289</v>
      </c>
      <c r="C12" s="2" t="s">
        <v>204</v>
      </c>
      <c r="D12" s="1">
        <v>93</v>
      </c>
      <c r="E12" s="1">
        <v>103</v>
      </c>
      <c r="F12" s="1">
        <v>113</v>
      </c>
      <c r="G12" s="1">
        <v>118</v>
      </c>
      <c r="H12" s="1">
        <v>123</v>
      </c>
      <c r="I12" s="1">
        <v>273</v>
      </c>
      <c r="M12"/>
      <c r="N12"/>
      <c r="O12"/>
      <c r="P12">
        <v>11</v>
      </c>
      <c r="Q12"/>
      <c r="R12"/>
      <c r="S12"/>
      <c r="T12" s="86" t="s">
        <v>61</v>
      </c>
      <c r="U12">
        <v>11</v>
      </c>
      <c r="V12" s="127">
        <f t="shared" si="5"/>
        <v>1995</v>
      </c>
      <c r="W12" t="s">
        <v>44</v>
      </c>
      <c r="X12">
        <f t="shared" si="1"/>
        <v>138</v>
      </c>
      <c r="Y12" s="59">
        <f t="shared" si="0"/>
        <v>4.5275590551181102</v>
      </c>
      <c r="Z12">
        <f t="shared" si="3"/>
        <v>6.3</v>
      </c>
      <c r="AA12"/>
      <c r="AB12">
        <f t="shared" si="4"/>
        <v>10</v>
      </c>
      <c r="AC12" t="e">
        <f t="shared" si="2"/>
        <v>#N/A</v>
      </c>
      <c r="AD12"/>
      <c r="AE12" s="57" t="str">
        <f>'Candidate Personal Info (VEF2)'!J326</f>
        <v/>
      </c>
      <c r="AF12" s="90"/>
      <c r="AI12" s="101">
        <f>DATE(AJ1-1,VLOOKUP(AI6,T2:U13,2,FALSE),AI9)</f>
        <v>43039</v>
      </c>
      <c r="AJ12" s="101">
        <f>DATE(AJ1,VLOOKUP(AJ6,T2:U13,2,FALSE),AJ9)</f>
        <v>43282</v>
      </c>
    </row>
    <row r="13" spans="1:36" s="1" customFormat="1" x14ac:dyDescent="0.2">
      <c r="A13" s="1">
        <v>9</v>
      </c>
      <c r="B13" s="5" t="s">
        <v>168</v>
      </c>
      <c r="C13" s="2" t="s">
        <v>204</v>
      </c>
      <c r="D13" s="1">
        <v>99</v>
      </c>
      <c r="E13" s="1">
        <v>109</v>
      </c>
      <c r="F13" s="1">
        <v>119</v>
      </c>
      <c r="G13" s="1">
        <v>124</v>
      </c>
      <c r="H13" s="1">
        <v>134</v>
      </c>
      <c r="I13" s="1">
        <v>279</v>
      </c>
      <c r="M13"/>
      <c r="N13"/>
      <c r="O13"/>
      <c r="P13">
        <v>12</v>
      </c>
      <c r="Q13"/>
      <c r="R13"/>
      <c r="S13"/>
      <c r="T13" s="86" t="s">
        <v>45</v>
      </c>
      <c r="U13">
        <v>12</v>
      </c>
      <c r="V13" s="127">
        <f t="shared" si="5"/>
        <v>1994</v>
      </c>
      <c r="W13" t="s">
        <v>186</v>
      </c>
      <c r="X13">
        <f t="shared" si="1"/>
        <v>140</v>
      </c>
      <c r="Y13" s="59">
        <f t="shared" si="0"/>
        <v>4.5931758530183728</v>
      </c>
      <c r="Z13">
        <f t="shared" si="3"/>
        <v>7.1</v>
      </c>
      <c r="AA13"/>
      <c r="AB13">
        <f t="shared" si="4"/>
        <v>11</v>
      </c>
      <c r="AC13" t="e">
        <f t="shared" si="2"/>
        <v>#N/A</v>
      </c>
      <c r="AD13"/>
      <c r="AE13" s="57" t="str">
        <f>'Candidate Personal Info (VEF2)'!J361</f>
        <v/>
      </c>
      <c r="AF13" s="90"/>
      <c r="AI13" s="60"/>
      <c r="AJ13" s="60"/>
    </row>
    <row r="14" spans="1:36" s="1" customFormat="1" x14ac:dyDescent="0.2">
      <c r="A14" s="1">
        <v>10</v>
      </c>
      <c r="B14" s="5" t="s">
        <v>169</v>
      </c>
      <c r="C14" s="5" t="s">
        <v>170</v>
      </c>
      <c r="D14" s="1">
        <v>463</v>
      </c>
      <c r="E14" s="1">
        <v>473</v>
      </c>
      <c r="F14" s="1">
        <v>488</v>
      </c>
      <c r="G14" s="1">
        <v>518</v>
      </c>
      <c r="H14" s="1">
        <v>543</v>
      </c>
      <c r="I14" s="1">
        <v>678</v>
      </c>
      <c r="M14"/>
      <c r="N14"/>
      <c r="O14"/>
      <c r="P14">
        <v>13</v>
      </c>
      <c r="Q14"/>
      <c r="R14"/>
      <c r="S14"/>
      <c r="T14" s="57"/>
      <c r="U14">
        <v>13</v>
      </c>
      <c r="V14" s="127">
        <f t="shared" si="5"/>
        <v>1993</v>
      </c>
      <c r="W14" t="s">
        <v>187</v>
      </c>
      <c r="X14">
        <f t="shared" si="1"/>
        <v>142</v>
      </c>
      <c r="Y14" s="59">
        <f t="shared" si="0"/>
        <v>4.6587926509186355</v>
      </c>
      <c r="Z14">
        <f t="shared" si="3"/>
        <v>7.9</v>
      </c>
      <c r="AA14"/>
      <c r="AB14">
        <f t="shared" si="4"/>
        <v>12</v>
      </c>
      <c r="AC14" t="e">
        <f t="shared" si="2"/>
        <v>#N/A</v>
      </c>
      <c r="AD14"/>
      <c r="AE14" s="57" t="str">
        <f>'Candidate Personal Info (VEF2)'!J396</f>
        <v/>
      </c>
      <c r="AF14" s="90"/>
      <c r="AI14" s="60"/>
      <c r="AJ14" s="60"/>
    </row>
    <row r="15" spans="1:36" s="1" customFormat="1" x14ac:dyDescent="0.2">
      <c r="A15" s="1">
        <v>11</v>
      </c>
      <c r="B15" s="5" t="s">
        <v>192</v>
      </c>
      <c r="C15" s="2" t="s">
        <v>90</v>
      </c>
      <c r="D15" s="1">
        <v>393</v>
      </c>
      <c r="E15" s="1">
        <v>408</v>
      </c>
      <c r="F15" s="1">
        <v>433</v>
      </c>
      <c r="G15" s="1">
        <v>473</v>
      </c>
      <c r="H15" s="1">
        <v>493</v>
      </c>
      <c r="I15" s="1">
        <v>538</v>
      </c>
      <c r="M15"/>
      <c r="N15"/>
      <c r="O15"/>
      <c r="P15">
        <v>14</v>
      </c>
      <c r="Q15"/>
      <c r="R15"/>
      <c r="S15"/>
      <c r="T15"/>
      <c r="U15">
        <v>14</v>
      </c>
      <c r="V15" s="127">
        <f t="shared" si="5"/>
        <v>1992</v>
      </c>
      <c r="W15" t="s">
        <v>305</v>
      </c>
      <c r="X15">
        <f t="shared" si="1"/>
        <v>144</v>
      </c>
      <c r="Y15" s="59">
        <f t="shared" si="0"/>
        <v>4.7244094488188972</v>
      </c>
      <c r="Z15">
        <f t="shared" si="3"/>
        <v>8.6999999999999993</v>
      </c>
      <c r="AA15"/>
      <c r="AB15">
        <f t="shared" si="4"/>
        <v>13</v>
      </c>
      <c r="AC15" t="e">
        <f t="shared" si="2"/>
        <v>#N/A</v>
      </c>
      <c r="AD15"/>
      <c r="AE15" s="57" t="str">
        <f>'Candidate Personal Info (VEF2)'!J431</f>
        <v/>
      </c>
      <c r="AF15" s="90"/>
    </row>
    <row r="16" spans="1:36" s="1" customFormat="1" x14ac:dyDescent="0.2">
      <c r="A16" s="1">
        <v>12</v>
      </c>
      <c r="B16" s="5" t="s">
        <v>91</v>
      </c>
      <c r="C16" s="2" t="s">
        <v>92</v>
      </c>
      <c r="D16" s="1">
        <v>857</v>
      </c>
      <c r="E16" s="1">
        <v>890</v>
      </c>
      <c r="F16" s="1">
        <v>956</v>
      </c>
      <c r="G16" s="1">
        <v>988</v>
      </c>
      <c r="H16" s="1">
        <v>1020</v>
      </c>
      <c r="I16" s="1">
        <v>1521</v>
      </c>
      <c r="M16"/>
      <c r="N16"/>
      <c r="O16"/>
      <c r="P16">
        <v>15</v>
      </c>
      <c r="Q16"/>
      <c r="R16"/>
      <c r="S16"/>
      <c r="T16"/>
      <c r="U16">
        <v>15</v>
      </c>
      <c r="V16" s="127">
        <f t="shared" si="5"/>
        <v>1991</v>
      </c>
      <c r="W16" t="s">
        <v>306</v>
      </c>
      <c r="X16">
        <f>X15+2</f>
        <v>146</v>
      </c>
      <c r="Y16" s="59">
        <f t="shared" si="0"/>
        <v>4.7900262467191599</v>
      </c>
      <c r="Z16">
        <f t="shared" si="3"/>
        <v>9.5</v>
      </c>
      <c r="AA16"/>
      <c r="AB16">
        <f t="shared" si="4"/>
        <v>14</v>
      </c>
      <c r="AC16" t="e">
        <f t="shared" si="2"/>
        <v>#N/A</v>
      </c>
      <c r="AD16"/>
      <c r="AE16" s="57" t="str">
        <f>'Candidate Personal Info (VEF2)'!J466</f>
        <v/>
      </c>
      <c r="AF16" s="90"/>
    </row>
    <row r="17" spans="1:36" s="1" customFormat="1" x14ac:dyDescent="0.2">
      <c r="A17" s="1">
        <v>13</v>
      </c>
      <c r="B17" s="5" t="s">
        <v>1</v>
      </c>
      <c r="C17" s="2" t="s">
        <v>92</v>
      </c>
      <c r="D17" s="1">
        <v>752</v>
      </c>
      <c r="E17" s="1">
        <v>781</v>
      </c>
      <c r="F17" s="1">
        <v>839</v>
      </c>
      <c r="G17" s="1">
        <v>867</v>
      </c>
      <c r="H17" s="1">
        <v>895</v>
      </c>
      <c r="M17"/>
      <c r="N17"/>
      <c r="O17"/>
      <c r="P17">
        <v>16</v>
      </c>
      <c r="Q17"/>
      <c r="R17"/>
      <c r="S17"/>
      <c r="T17"/>
      <c r="U17">
        <v>16</v>
      </c>
      <c r="V17" s="127">
        <f t="shared" si="5"/>
        <v>1990</v>
      </c>
      <c r="W17" t="s">
        <v>161</v>
      </c>
      <c r="X17">
        <f>X16+2</f>
        <v>148</v>
      </c>
      <c r="Y17" s="59">
        <f t="shared" si="0"/>
        <v>4.8556430446194225</v>
      </c>
      <c r="Z17">
        <f t="shared" si="3"/>
        <v>10.3</v>
      </c>
      <c r="AA17"/>
      <c r="AB17">
        <f t="shared" si="4"/>
        <v>15</v>
      </c>
      <c r="AC17" t="e">
        <f t="shared" si="2"/>
        <v>#N/A</v>
      </c>
      <c r="AD17"/>
      <c r="AE17" s="57" t="str">
        <f>'Candidate Personal Info (VEF2)'!J501</f>
        <v/>
      </c>
      <c r="AF17" s="90"/>
      <c r="AI17" s="96"/>
      <c r="AJ17" s="96"/>
    </row>
    <row r="18" spans="1:36" s="1" customFormat="1" x14ac:dyDescent="0.2">
      <c r="A18" s="6">
        <v>14</v>
      </c>
      <c r="B18" s="7" t="s">
        <v>2</v>
      </c>
      <c r="C18" s="7" t="s">
        <v>92</v>
      </c>
      <c r="D18" s="6">
        <v>1012</v>
      </c>
      <c r="E18" s="6">
        <v>1052</v>
      </c>
      <c r="F18" s="6">
        <v>1132</v>
      </c>
      <c r="G18" s="6">
        <v>1172</v>
      </c>
      <c r="H18" s="6">
        <v>1212</v>
      </c>
      <c r="I18" s="6"/>
      <c r="M18"/>
      <c r="N18"/>
      <c r="O18"/>
      <c r="P18">
        <v>17</v>
      </c>
      <c r="Q18"/>
      <c r="R18"/>
      <c r="S18"/>
      <c r="T18"/>
      <c r="U18">
        <v>17</v>
      </c>
      <c r="V18" s="127">
        <f t="shared" si="5"/>
        <v>1989</v>
      </c>
      <c r="W18" t="s">
        <v>162</v>
      </c>
      <c r="X18">
        <f>X17+2</f>
        <v>150</v>
      </c>
      <c r="Y18" s="59">
        <f t="shared" si="0"/>
        <v>4.9212598425196852</v>
      </c>
      <c r="Z18">
        <f t="shared" si="3"/>
        <v>11.1</v>
      </c>
      <c r="AA18"/>
      <c r="AB18">
        <f t="shared" si="4"/>
        <v>16</v>
      </c>
      <c r="AC18" t="e">
        <f t="shared" si="2"/>
        <v>#N/A</v>
      </c>
      <c r="AD18"/>
      <c r="AE18" s="57" t="str">
        <f>'Candidate Personal Info (VEF2)'!J536</f>
        <v/>
      </c>
      <c r="AF18" s="84"/>
    </row>
    <row r="19" spans="1:36" x14ac:dyDescent="0.2">
      <c r="P19">
        <v>18</v>
      </c>
      <c r="S19" s="60"/>
      <c r="U19">
        <v>18</v>
      </c>
      <c r="V19" s="127">
        <f t="shared" si="5"/>
        <v>1988</v>
      </c>
      <c r="W19" t="s">
        <v>163</v>
      </c>
      <c r="X19">
        <f>X18+2</f>
        <v>152</v>
      </c>
      <c r="Y19" s="59">
        <f t="shared" si="0"/>
        <v>4.9868766404199478</v>
      </c>
      <c r="Z19">
        <f t="shared" si="3"/>
        <v>11.8</v>
      </c>
      <c r="AB19">
        <f t="shared" si="4"/>
        <v>17</v>
      </c>
      <c r="AC19" t="e">
        <f t="shared" si="2"/>
        <v>#N/A</v>
      </c>
      <c r="AE19" s="57" t="str">
        <f>'Candidate Personal Info (VEF2)'!J571</f>
        <v/>
      </c>
      <c r="AF19" s="57"/>
      <c r="AI19" s="1"/>
      <c r="AJ19" s="1"/>
    </row>
    <row r="20" spans="1:36" x14ac:dyDescent="0.2">
      <c r="P20">
        <v>19</v>
      </c>
      <c r="U20">
        <v>19</v>
      </c>
      <c r="V20" s="127">
        <f t="shared" si="5"/>
        <v>1987</v>
      </c>
      <c r="W20" t="s">
        <v>59</v>
      </c>
      <c r="X20">
        <f>X19+2</f>
        <v>154</v>
      </c>
      <c r="Y20" s="59">
        <f t="shared" si="0"/>
        <v>5.0524934383202096</v>
      </c>
      <c r="Z20">
        <f>ROUND((Y20-5)*12,1)</f>
        <v>0.6</v>
      </c>
      <c r="AB20">
        <f t="shared" si="4"/>
        <v>18</v>
      </c>
      <c r="AC20" t="e">
        <f t="shared" si="2"/>
        <v>#N/A</v>
      </c>
      <c r="AE20" s="57" t="str">
        <f>'Candidate Personal Info (VEF2)'!J606</f>
        <v/>
      </c>
      <c r="AF20" s="57"/>
      <c r="AI20" s="96"/>
      <c r="AJ20" s="1"/>
    </row>
    <row r="21" spans="1:36" x14ac:dyDescent="0.2">
      <c r="A21" s="131" t="s">
        <v>329</v>
      </c>
      <c r="P21">
        <v>20</v>
      </c>
      <c r="U21">
        <v>20</v>
      </c>
      <c r="V21" s="127">
        <f t="shared" si="5"/>
        <v>1986</v>
      </c>
      <c r="W21" t="s">
        <v>14</v>
      </c>
      <c r="X21">
        <f t="shared" ref="X21:X42" si="6">X20+2</f>
        <v>156</v>
      </c>
      <c r="Y21" s="59">
        <f t="shared" si="0"/>
        <v>5.1181102362204722</v>
      </c>
      <c r="Z21">
        <f t="shared" ref="Z21:Z34" si="7">ROUND((Y21-5)*12,1)</f>
        <v>1.4</v>
      </c>
      <c r="AB21">
        <f t="shared" si="4"/>
        <v>19</v>
      </c>
      <c r="AC21" t="e">
        <f t="shared" si="2"/>
        <v>#N/A</v>
      </c>
      <c r="AE21" s="57" t="str">
        <f>'Candidate Personal Info (VEF2)'!J641</f>
        <v/>
      </c>
      <c r="AF21" s="57"/>
      <c r="AI21" s="1"/>
      <c r="AJ21" s="1"/>
    </row>
    <row r="22" spans="1:36" s="4" customFormat="1" ht="32.1" customHeight="1" x14ac:dyDescent="0.2">
      <c r="A22" s="3" t="s">
        <v>219</v>
      </c>
      <c r="B22" s="3" t="s">
        <v>220</v>
      </c>
      <c r="C22" s="3" t="s">
        <v>286</v>
      </c>
      <c r="D22" s="8" t="s">
        <v>287</v>
      </c>
      <c r="E22" s="3" t="s">
        <v>288</v>
      </c>
      <c r="F22" s="3" t="s">
        <v>95</v>
      </c>
      <c r="G22" s="3" t="s">
        <v>96</v>
      </c>
      <c r="H22" s="3" t="s">
        <v>189</v>
      </c>
      <c r="I22" s="3" t="s">
        <v>190</v>
      </c>
      <c r="M22"/>
      <c r="N22"/>
      <c r="O22"/>
      <c r="P22">
        <v>21</v>
      </c>
      <c r="Q22"/>
      <c r="R22"/>
      <c r="S22"/>
      <c r="T22"/>
      <c r="U22">
        <v>21</v>
      </c>
      <c r="V22" s="127">
        <f t="shared" si="5"/>
        <v>1985</v>
      </c>
      <c r="W22" t="s">
        <v>15</v>
      </c>
      <c r="X22">
        <f t="shared" si="6"/>
        <v>158</v>
      </c>
      <c r="Y22" s="59">
        <f t="shared" si="0"/>
        <v>5.1837270341207349</v>
      </c>
      <c r="Z22">
        <f t="shared" si="7"/>
        <v>2.2000000000000002</v>
      </c>
      <c r="AA22"/>
      <c r="AB22">
        <f t="shared" si="4"/>
        <v>20</v>
      </c>
      <c r="AC22" t="e">
        <f t="shared" si="2"/>
        <v>#N/A</v>
      </c>
      <c r="AD22"/>
      <c r="AE22" s="57" t="str">
        <f>'Candidate Personal Info (VEF2)'!J676</f>
        <v/>
      </c>
      <c r="AF22" s="91"/>
      <c r="AI22" s="1"/>
      <c r="AJ22" s="1"/>
    </row>
    <row r="23" spans="1:36" s="1" customFormat="1" x14ac:dyDescent="0.2">
      <c r="A23" s="1">
        <v>1</v>
      </c>
      <c r="B23" s="2" t="s">
        <v>312</v>
      </c>
      <c r="C23" s="2" t="s">
        <v>313</v>
      </c>
      <c r="D23" s="1">
        <v>279</v>
      </c>
      <c r="E23" s="1">
        <v>289</v>
      </c>
      <c r="F23" s="1">
        <v>500</v>
      </c>
      <c r="G23" s="1">
        <v>505</v>
      </c>
      <c r="H23" s="1">
        <v>515</v>
      </c>
      <c r="I23" s="1">
        <v>655</v>
      </c>
      <c r="M23"/>
      <c r="N23"/>
      <c r="O23"/>
      <c r="P23">
        <v>22</v>
      </c>
      <c r="Q23"/>
      <c r="R23"/>
      <c r="S23"/>
      <c r="T23"/>
      <c r="U23">
        <v>22</v>
      </c>
      <c r="V23" s="127">
        <f t="shared" si="5"/>
        <v>1984</v>
      </c>
      <c r="W23" t="s">
        <v>16</v>
      </c>
      <c r="X23">
        <f t="shared" si="6"/>
        <v>160</v>
      </c>
      <c r="Y23" s="59">
        <f t="shared" si="0"/>
        <v>5.2493438320209975</v>
      </c>
      <c r="Z23">
        <f t="shared" si="7"/>
        <v>3</v>
      </c>
      <c r="AA23"/>
      <c r="AB23">
        <f t="shared" si="4"/>
        <v>21</v>
      </c>
      <c r="AC23" t="e">
        <f t="shared" si="2"/>
        <v>#N/A</v>
      </c>
      <c r="AD23"/>
      <c r="AE23" s="57" t="str">
        <f>'Candidate Personal Info (VEF2)'!J711</f>
        <v/>
      </c>
      <c r="AF23" s="84"/>
    </row>
    <row r="24" spans="1:36" s="1" customFormat="1" x14ac:dyDescent="0.2">
      <c r="A24" s="1">
        <v>2</v>
      </c>
      <c r="B24" s="2" t="s">
        <v>314</v>
      </c>
      <c r="C24" s="2" t="s">
        <v>296</v>
      </c>
      <c r="D24" s="1">
        <v>211</v>
      </c>
      <c r="E24" s="1">
        <v>221</v>
      </c>
      <c r="F24" s="1">
        <v>377</v>
      </c>
      <c r="G24" s="1">
        <v>382</v>
      </c>
      <c r="H24" s="1">
        <v>392</v>
      </c>
      <c r="I24" s="1">
        <v>490</v>
      </c>
      <c r="M24"/>
      <c r="N24"/>
      <c r="O24"/>
      <c r="P24">
        <v>23</v>
      </c>
      <c r="Q24"/>
      <c r="R24"/>
      <c r="S24"/>
      <c r="T24"/>
      <c r="U24">
        <v>23</v>
      </c>
      <c r="V24" s="127">
        <f t="shared" si="5"/>
        <v>1983</v>
      </c>
      <c r="W24" t="s">
        <v>9</v>
      </c>
      <c r="X24">
        <f t="shared" si="6"/>
        <v>162</v>
      </c>
      <c r="Y24" s="59">
        <f t="shared" si="0"/>
        <v>5.3149606299212602</v>
      </c>
      <c r="Z24">
        <f t="shared" si="7"/>
        <v>3.8</v>
      </c>
      <c r="AA24"/>
      <c r="AB24">
        <f t="shared" si="4"/>
        <v>22</v>
      </c>
      <c r="AC24" t="e">
        <f t="shared" si="2"/>
        <v>#N/A</v>
      </c>
      <c r="AD24"/>
      <c r="AE24" s="57" t="str">
        <f>'Candidate Personal Info (VEF2)'!J746</f>
        <v/>
      </c>
      <c r="AF24" s="84"/>
    </row>
    <row r="25" spans="1:36" s="1" customFormat="1" x14ac:dyDescent="0.2">
      <c r="A25" s="1">
        <v>3</v>
      </c>
      <c r="B25" s="2" t="s">
        <v>34</v>
      </c>
      <c r="C25" s="2" t="s">
        <v>35</v>
      </c>
      <c r="D25" s="1">
        <v>5590</v>
      </c>
      <c r="E25" s="1">
        <v>5790</v>
      </c>
      <c r="F25" s="1">
        <v>11800</v>
      </c>
      <c r="G25" s="1">
        <v>12000</v>
      </c>
      <c r="H25" s="1">
        <v>12200</v>
      </c>
      <c r="I25" s="1">
        <v>13000</v>
      </c>
      <c r="M25"/>
      <c r="N25"/>
      <c r="O25"/>
      <c r="P25">
        <v>24</v>
      </c>
      <c r="Q25"/>
      <c r="R25" s="106"/>
      <c r="S25"/>
      <c r="T25"/>
      <c r="U25">
        <v>24</v>
      </c>
      <c r="V25" s="127">
        <f t="shared" si="5"/>
        <v>1982</v>
      </c>
      <c r="W25" t="s">
        <v>173</v>
      </c>
      <c r="X25">
        <f t="shared" si="6"/>
        <v>164</v>
      </c>
      <c r="Y25" s="59">
        <f t="shared" si="0"/>
        <v>5.3805774278215219</v>
      </c>
      <c r="Z25">
        <f t="shared" si="7"/>
        <v>4.5999999999999996</v>
      </c>
      <c r="AA25"/>
      <c r="AB25">
        <f t="shared" si="4"/>
        <v>23</v>
      </c>
      <c r="AC25" t="e">
        <f t="shared" si="2"/>
        <v>#N/A</v>
      </c>
      <c r="AD25"/>
      <c r="AE25" s="57" t="str">
        <f>'Candidate Personal Info (VEF2)'!J781</f>
        <v/>
      </c>
      <c r="AF25" s="84"/>
      <c r="AI25"/>
      <c r="AJ25"/>
    </row>
    <row r="26" spans="1:36" s="1" customFormat="1" x14ac:dyDescent="0.2">
      <c r="A26" s="1">
        <v>4</v>
      </c>
      <c r="B26" s="5" t="s">
        <v>315</v>
      </c>
      <c r="C26" s="2" t="s">
        <v>108</v>
      </c>
      <c r="D26" s="1">
        <v>635</v>
      </c>
      <c r="E26" s="1">
        <v>660</v>
      </c>
      <c r="F26" s="1">
        <v>1125</v>
      </c>
      <c r="G26" s="1">
        <v>1150</v>
      </c>
      <c r="H26" s="1">
        <v>1175</v>
      </c>
      <c r="I26" s="1">
        <v>1350</v>
      </c>
      <c r="M26"/>
      <c r="N26"/>
      <c r="O26"/>
      <c r="P26">
        <v>25</v>
      </c>
      <c r="Q26"/>
      <c r="R26"/>
      <c r="S26"/>
      <c r="T26"/>
      <c r="U26">
        <v>25</v>
      </c>
      <c r="V26" s="127">
        <f t="shared" si="5"/>
        <v>1981</v>
      </c>
      <c r="W26" t="s">
        <v>191</v>
      </c>
      <c r="X26">
        <f t="shared" si="6"/>
        <v>166</v>
      </c>
      <c r="Y26" s="59">
        <f t="shared" si="0"/>
        <v>5.4461942257217855</v>
      </c>
      <c r="Z26">
        <f t="shared" si="7"/>
        <v>5.4</v>
      </c>
      <c r="AA26"/>
      <c r="AB26">
        <f t="shared" si="4"/>
        <v>24</v>
      </c>
      <c r="AC26" t="e">
        <f t="shared" si="2"/>
        <v>#N/A</v>
      </c>
      <c r="AD26"/>
      <c r="AE26" s="57" t="str">
        <f>'Candidate Personal Info (VEF2)'!J816</f>
        <v/>
      </c>
      <c r="AF26" s="84"/>
      <c r="AI26"/>
      <c r="AJ26"/>
    </row>
    <row r="27" spans="1:36" s="1" customFormat="1" x14ac:dyDescent="0.2">
      <c r="A27" s="1">
        <v>5</v>
      </c>
      <c r="B27" s="5" t="s">
        <v>109</v>
      </c>
      <c r="C27" s="2" t="s">
        <v>46</v>
      </c>
      <c r="D27" s="1">
        <v>227</v>
      </c>
      <c r="E27" s="1">
        <v>238</v>
      </c>
      <c r="F27" s="1">
        <v>368</v>
      </c>
      <c r="G27" s="1">
        <v>374</v>
      </c>
      <c r="H27" s="1">
        <v>395</v>
      </c>
      <c r="I27" s="1">
        <v>446</v>
      </c>
      <c r="M27"/>
      <c r="N27"/>
      <c r="O27"/>
      <c r="P27">
        <v>26</v>
      </c>
      <c r="Q27"/>
      <c r="R27"/>
      <c r="S27"/>
      <c r="T27"/>
      <c r="U27">
        <v>26</v>
      </c>
      <c r="V27" s="127">
        <f t="shared" si="5"/>
        <v>1980</v>
      </c>
      <c r="W27" t="s">
        <v>51</v>
      </c>
      <c r="X27">
        <f t="shared" si="6"/>
        <v>168</v>
      </c>
      <c r="Y27" s="59">
        <f t="shared" si="0"/>
        <v>5.5118110236220472</v>
      </c>
      <c r="Z27">
        <f t="shared" si="7"/>
        <v>6.1</v>
      </c>
      <c r="AA27"/>
      <c r="AB27">
        <f t="shared" si="4"/>
        <v>25</v>
      </c>
      <c r="AC27" t="e">
        <f t="shared" si="2"/>
        <v>#N/A</v>
      </c>
      <c r="AD27"/>
      <c r="AE27" s="57" t="str">
        <f>'Candidate Personal Info (VEF2)'!J851</f>
        <v/>
      </c>
      <c r="AF27" s="84"/>
      <c r="AI27"/>
      <c r="AJ27"/>
    </row>
    <row r="28" spans="1:36" s="1" customFormat="1" x14ac:dyDescent="0.2">
      <c r="A28" s="119">
        <v>6</v>
      </c>
      <c r="B28" s="120" t="s">
        <v>47</v>
      </c>
      <c r="C28" s="120" t="s">
        <v>48</v>
      </c>
      <c r="D28" s="119">
        <v>169</v>
      </c>
      <c r="E28" s="119">
        <v>184</v>
      </c>
      <c r="F28" s="119">
        <v>334</v>
      </c>
      <c r="G28" s="119">
        <v>339</v>
      </c>
      <c r="H28" s="119">
        <v>349</v>
      </c>
      <c r="I28" s="119">
        <v>495</v>
      </c>
      <c r="M28"/>
      <c r="N28"/>
      <c r="O28"/>
      <c r="P28">
        <v>27</v>
      </c>
      <c r="Q28"/>
      <c r="R28"/>
      <c r="S28"/>
      <c r="T28"/>
      <c r="U28">
        <v>27</v>
      </c>
      <c r="V28" s="127">
        <f t="shared" si="5"/>
        <v>1979</v>
      </c>
      <c r="W28" t="s">
        <v>53</v>
      </c>
      <c r="X28">
        <f t="shared" si="6"/>
        <v>170</v>
      </c>
      <c r="Y28" s="59">
        <f t="shared" si="0"/>
        <v>5.5774278215223099</v>
      </c>
      <c r="Z28">
        <f t="shared" si="7"/>
        <v>6.9</v>
      </c>
      <c r="AA28"/>
      <c r="AB28">
        <f t="shared" si="4"/>
        <v>26</v>
      </c>
      <c r="AC28" t="e">
        <f t="shared" si="2"/>
        <v>#N/A</v>
      </c>
      <c r="AD28"/>
      <c r="AE28" s="57" t="str">
        <f>'Candidate Personal Info (VEF2)'!J886</f>
        <v/>
      </c>
      <c r="AF28" s="84"/>
      <c r="AI28" s="4"/>
      <c r="AJ28" s="4"/>
    </row>
    <row r="29" spans="1:36" s="1" customFormat="1" x14ac:dyDescent="0.2">
      <c r="A29" s="1">
        <v>7</v>
      </c>
      <c r="B29" s="5" t="s">
        <v>49</v>
      </c>
      <c r="C29" s="2" t="s">
        <v>125</v>
      </c>
      <c r="D29" s="1">
        <v>1070</v>
      </c>
      <c r="E29" s="1">
        <v>1180</v>
      </c>
      <c r="F29" s="1">
        <v>2000</v>
      </c>
      <c r="G29" s="1">
        <v>2030</v>
      </c>
      <c r="H29" s="1">
        <v>2080</v>
      </c>
      <c r="I29" s="1">
        <v>2380</v>
      </c>
      <c r="M29"/>
      <c r="N29"/>
      <c r="O29"/>
      <c r="P29">
        <v>28</v>
      </c>
      <c r="Q29"/>
      <c r="R29"/>
      <c r="S29"/>
      <c r="T29"/>
      <c r="U29">
        <v>28</v>
      </c>
      <c r="V29" s="127">
        <f t="shared" si="5"/>
        <v>1978</v>
      </c>
      <c r="W29" t="s">
        <v>54</v>
      </c>
      <c r="X29">
        <f t="shared" si="6"/>
        <v>172</v>
      </c>
      <c r="Y29" s="59">
        <f t="shared" si="0"/>
        <v>5.6430446194225716</v>
      </c>
      <c r="Z29">
        <f t="shared" si="7"/>
        <v>7.7</v>
      </c>
      <c r="AA29"/>
      <c r="AB29">
        <f t="shared" si="4"/>
        <v>27</v>
      </c>
      <c r="AC29" t="e">
        <f t="shared" si="2"/>
        <v>#N/A</v>
      </c>
      <c r="AD29"/>
      <c r="AE29" s="57" t="str">
        <f>'Candidate Personal Info (VEF2)'!J921</f>
        <v/>
      </c>
      <c r="AF29" s="84"/>
    </row>
    <row r="30" spans="1:36" s="1" customFormat="1" x14ac:dyDescent="0.2">
      <c r="A30" s="1">
        <v>8</v>
      </c>
      <c r="B30" s="5" t="s">
        <v>289</v>
      </c>
      <c r="C30" s="2" t="s">
        <v>204</v>
      </c>
      <c r="D30" s="1">
        <v>93</v>
      </c>
      <c r="E30" s="1">
        <v>103</v>
      </c>
      <c r="F30" s="1">
        <v>181</v>
      </c>
      <c r="G30" s="1">
        <v>186</v>
      </c>
      <c r="H30" s="1">
        <v>191</v>
      </c>
      <c r="I30" s="1">
        <v>341</v>
      </c>
      <c r="M30"/>
      <c r="N30"/>
      <c r="O30"/>
      <c r="P30">
        <v>29</v>
      </c>
      <c r="Q30"/>
      <c r="R30"/>
      <c r="S30"/>
      <c r="T30"/>
      <c r="U30">
        <v>29</v>
      </c>
      <c r="V30" s="127">
        <f t="shared" si="5"/>
        <v>1977</v>
      </c>
      <c r="W30" t="s">
        <v>55</v>
      </c>
      <c r="X30">
        <f t="shared" si="6"/>
        <v>174</v>
      </c>
      <c r="Y30" s="59">
        <f t="shared" si="0"/>
        <v>5.7086614173228343</v>
      </c>
      <c r="Z30">
        <f t="shared" si="7"/>
        <v>8.5</v>
      </c>
      <c r="AA30"/>
      <c r="AB30">
        <f t="shared" si="4"/>
        <v>28</v>
      </c>
      <c r="AC30" t="e">
        <f t="shared" si="2"/>
        <v>#N/A</v>
      </c>
      <c r="AD30"/>
      <c r="AE30" s="57" t="str">
        <f>'Candidate Personal Info (VEF2)'!J956</f>
        <v/>
      </c>
      <c r="AF30" s="84"/>
    </row>
    <row r="31" spans="1:36" s="1" customFormat="1" x14ac:dyDescent="0.2">
      <c r="A31" s="1">
        <v>9</v>
      </c>
      <c r="B31" s="5" t="s">
        <v>168</v>
      </c>
      <c r="C31" s="2" t="s">
        <v>204</v>
      </c>
      <c r="D31" s="1">
        <v>99</v>
      </c>
      <c r="E31" s="1">
        <v>109</v>
      </c>
      <c r="F31" s="1">
        <v>189</v>
      </c>
      <c r="G31" s="1">
        <v>194</v>
      </c>
      <c r="H31" s="1">
        <v>204</v>
      </c>
      <c r="I31" s="1">
        <v>349</v>
      </c>
      <c r="M31"/>
      <c r="N31"/>
      <c r="O31"/>
      <c r="P31">
        <v>30</v>
      </c>
      <c r="Q31"/>
      <c r="R31"/>
      <c r="S31"/>
      <c r="T31"/>
      <c r="U31">
        <v>30</v>
      </c>
      <c r="V31" s="127">
        <f t="shared" si="5"/>
        <v>1976</v>
      </c>
      <c r="W31" t="s">
        <v>56</v>
      </c>
      <c r="X31">
        <f t="shared" si="6"/>
        <v>176</v>
      </c>
      <c r="Y31" s="59">
        <f t="shared" si="0"/>
        <v>5.7742782152230978</v>
      </c>
      <c r="Z31">
        <f t="shared" si="7"/>
        <v>9.3000000000000007</v>
      </c>
      <c r="AA31"/>
      <c r="AB31">
        <f t="shared" si="4"/>
        <v>29</v>
      </c>
      <c r="AC31" t="e">
        <f t="shared" si="2"/>
        <v>#N/A</v>
      </c>
      <c r="AD31"/>
      <c r="AE31" s="57" t="str">
        <f>'Candidate Personal Info (VEF2)'!J991</f>
        <v/>
      </c>
      <c r="AF31" s="84"/>
    </row>
    <row r="32" spans="1:36" s="1" customFormat="1" x14ac:dyDescent="0.2">
      <c r="A32" s="1">
        <v>10</v>
      </c>
      <c r="B32" s="5" t="s">
        <v>169</v>
      </c>
      <c r="C32" s="5" t="s">
        <v>170</v>
      </c>
      <c r="D32" s="1">
        <v>463</v>
      </c>
      <c r="E32" s="1">
        <v>473</v>
      </c>
      <c r="F32" s="1">
        <v>810</v>
      </c>
      <c r="G32" s="1">
        <v>840</v>
      </c>
      <c r="H32" s="1">
        <v>865</v>
      </c>
      <c r="I32" s="1">
        <v>1000</v>
      </c>
      <c r="M32"/>
      <c r="N32"/>
      <c r="O32"/>
      <c r="P32">
        <f>P31+1</f>
        <v>31</v>
      </c>
      <c r="Q32"/>
      <c r="R32"/>
      <c r="S32"/>
      <c r="T32"/>
      <c r="U32">
        <v>31</v>
      </c>
      <c r="V32" s="127">
        <f t="shared" si="5"/>
        <v>1975</v>
      </c>
      <c r="W32" t="s">
        <v>57</v>
      </c>
      <c r="X32">
        <f t="shared" si="6"/>
        <v>178</v>
      </c>
      <c r="Y32" s="59">
        <f t="shared" si="0"/>
        <v>5.8398950131233596</v>
      </c>
      <c r="Z32">
        <f t="shared" si="7"/>
        <v>10.1</v>
      </c>
      <c r="AA32"/>
      <c r="AB32">
        <f t="shared" si="4"/>
        <v>30</v>
      </c>
      <c r="AC32" t="e">
        <f t="shared" si="2"/>
        <v>#N/A</v>
      </c>
      <c r="AD32"/>
      <c r="AE32" s="57" t="str">
        <f>'Candidate Personal Info (VEF2)'!J1026</f>
        <v/>
      </c>
      <c r="AF32" s="84"/>
    </row>
    <row r="33" spans="1:36" s="1" customFormat="1" x14ac:dyDescent="0.2">
      <c r="A33" s="1">
        <v>11</v>
      </c>
      <c r="B33" s="5" t="s">
        <v>192</v>
      </c>
      <c r="C33" s="2" t="s">
        <v>90</v>
      </c>
      <c r="D33" s="1">
        <v>393</v>
      </c>
      <c r="E33" s="1">
        <v>408</v>
      </c>
      <c r="F33" s="1">
        <v>685</v>
      </c>
      <c r="G33" s="1">
        <v>695</v>
      </c>
      <c r="H33" s="1">
        <v>705</v>
      </c>
      <c r="I33" s="1">
        <v>790</v>
      </c>
      <c r="M33"/>
      <c r="N33"/>
      <c r="O33"/>
      <c r="P33">
        <f t="shared" ref="P33:P61" si="8">P32+1</f>
        <v>32</v>
      </c>
      <c r="Q33"/>
      <c r="R33"/>
      <c r="S33"/>
      <c r="T33"/>
      <c r="U33"/>
      <c r="V33" s="127">
        <f t="shared" si="5"/>
        <v>1974</v>
      </c>
      <c r="W33" t="s">
        <v>58</v>
      </c>
      <c r="X33">
        <f t="shared" si="6"/>
        <v>180</v>
      </c>
      <c r="Y33" s="59">
        <f t="shared" si="0"/>
        <v>5.9055118110236222</v>
      </c>
      <c r="Z33">
        <f t="shared" si="7"/>
        <v>10.9</v>
      </c>
      <c r="AA33"/>
      <c r="AB33">
        <f t="shared" si="4"/>
        <v>31</v>
      </c>
      <c r="AC33" t="e">
        <f t="shared" si="2"/>
        <v>#N/A</v>
      </c>
      <c r="AD33"/>
      <c r="AE33" s="57" t="str">
        <f>'Candidate Personal Info (VEF2)'!J1061</f>
        <v/>
      </c>
      <c r="AF33" s="84"/>
    </row>
    <row r="34" spans="1:36" s="1" customFormat="1" x14ac:dyDescent="0.2">
      <c r="A34" s="1">
        <v>12</v>
      </c>
      <c r="B34" s="5" t="s">
        <v>91</v>
      </c>
      <c r="C34" s="2" t="s">
        <v>92</v>
      </c>
      <c r="D34" s="1">
        <v>857</v>
      </c>
      <c r="E34" s="1">
        <v>890</v>
      </c>
      <c r="F34" s="1">
        <v>1442</v>
      </c>
      <c r="G34" s="1">
        <v>1474</v>
      </c>
      <c r="H34" s="1">
        <v>1506</v>
      </c>
      <c r="I34" s="1">
        <v>2007</v>
      </c>
      <c r="M34"/>
      <c r="N34"/>
      <c r="O34"/>
      <c r="P34">
        <f t="shared" si="8"/>
        <v>33</v>
      </c>
      <c r="Q34"/>
      <c r="R34"/>
      <c r="S34"/>
      <c r="T34"/>
      <c r="U34"/>
      <c r="V34" s="127">
        <f t="shared" si="5"/>
        <v>1973</v>
      </c>
      <c r="W34" t="s">
        <v>4</v>
      </c>
      <c r="X34">
        <f t="shared" si="6"/>
        <v>182</v>
      </c>
      <c r="Y34" s="59">
        <f t="shared" si="0"/>
        <v>5.971128608923884</v>
      </c>
      <c r="Z34">
        <f t="shared" si="7"/>
        <v>11.7</v>
      </c>
      <c r="AA34"/>
      <c r="AB34">
        <f t="shared" si="4"/>
        <v>32</v>
      </c>
      <c r="AC34" t="e">
        <f t="shared" si="2"/>
        <v>#N/A</v>
      </c>
      <c r="AD34"/>
      <c r="AE34" s="57" t="str">
        <f>'Candidate Personal Info (VEF2)'!J1096</f>
        <v/>
      </c>
      <c r="AF34" s="84"/>
    </row>
    <row r="35" spans="1:36" s="1" customFormat="1" x14ac:dyDescent="0.2">
      <c r="A35" s="1">
        <v>13</v>
      </c>
      <c r="B35" s="5" t="s">
        <v>1</v>
      </c>
      <c r="C35" s="2" t="s">
        <v>92</v>
      </c>
      <c r="D35" s="1">
        <v>752</v>
      </c>
      <c r="E35" s="1">
        <v>781</v>
      </c>
      <c r="F35" s="1">
        <v>1265</v>
      </c>
      <c r="G35" s="1">
        <v>1293</v>
      </c>
      <c r="H35" s="1">
        <v>1321</v>
      </c>
      <c r="M35"/>
      <c r="N35"/>
      <c r="O35"/>
      <c r="P35">
        <f t="shared" si="8"/>
        <v>34</v>
      </c>
      <c r="Q35"/>
      <c r="R35"/>
      <c r="S35"/>
      <c r="T35"/>
      <c r="U35"/>
      <c r="V35" s="127">
        <f t="shared" si="5"/>
        <v>1972</v>
      </c>
      <c r="W35" t="s">
        <v>77</v>
      </c>
      <c r="X35">
        <f t="shared" si="6"/>
        <v>184</v>
      </c>
      <c r="Y35" s="59">
        <f t="shared" si="0"/>
        <v>6.0367454068241466</v>
      </c>
      <c r="Z35">
        <f>ROUND((Y35-6)*12,1)</f>
        <v>0.4</v>
      </c>
      <c r="AA35"/>
      <c r="AB35">
        <f t="shared" si="4"/>
        <v>33</v>
      </c>
      <c r="AC35" t="e">
        <f t="shared" si="2"/>
        <v>#N/A</v>
      </c>
      <c r="AD35"/>
      <c r="AE35" s="57" t="str">
        <f>'Candidate Personal Info (VEF2)'!J1131</f>
        <v/>
      </c>
      <c r="AF35" s="84"/>
    </row>
    <row r="36" spans="1:36" s="1" customFormat="1" x14ac:dyDescent="0.2">
      <c r="A36" s="6">
        <v>14</v>
      </c>
      <c r="B36" s="7" t="s">
        <v>2</v>
      </c>
      <c r="C36" s="7" t="s">
        <v>92</v>
      </c>
      <c r="D36" s="6">
        <v>1012</v>
      </c>
      <c r="E36" s="6">
        <v>1052</v>
      </c>
      <c r="F36" s="6">
        <v>1618</v>
      </c>
      <c r="G36" s="6">
        <v>1658</v>
      </c>
      <c r="H36" s="6">
        <v>1698</v>
      </c>
      <c r="I36" s="6"/>
      <c r="M36"/>
      <c r="N36"/>
      <c r="O36"/>
      <c r="P36">
        <f t="shared" si="8"/>
        <v>35</v>
      </c>
      <c r="Q36"/>
      <c r="R36"/>
      <c r="S36"/>
      <c r="T36"/>
      <c r="U36"/>
      <c r="V36" s="127">
        <f t="shared" si="5"/>
        <v>1971</v>
      </c>
      <c r="W36" t="s">
        <v>78</v>
      </c>
      <c r="X36">
        <f t="shared" si="6"/>
        <v>186</v>
      </c>
      <c r="Y36" s="59">
        <f t="shared" si="0"/>
        <v>6.1023622047244102</v>
      </c>
      <c r="Z36">
        <f t="shared" ref="Z36:Z42" si="9">ROUND((Y36-6)*12,1)</f>
        <v>1.2</v>
      </c>
      <c r="AA36"/>
      <c r="AB36">
        <f t="shared" si="4"/>
        <v>34</v>
      </c>
      <c r="AC36" t="e">
        <f t="shared" si="2"/>
        <v>#N/A</v>
      </c>
      <c r="AD36"/>
      <c r="AE36" s="57" t="str">
        <f>'Candidate Personal Info (VEF2)'!J1166</f>
        <v/>
      </c>
      <c r="AF36" s="84"/>
    </row>
    <row r="37" spans="1:36" x14ac:dyDescent="0.2">
      <c r="P37">
        <f t="shared" si="8"/>
        <v>36</v>
      </c>
      <c r="V37" s="127">
        <f t="shared" si="5"/>
        <v>1970</v>
      </c>
      <c r="W37" t="s">
        <v>79</v>
      </c>
      <c r="X37">
        <f t="shared" si="6"/>
        <v>188</v>
      </c>
      <c r="Y37" s="59">
        <f t="shared" si="0"/>
        <v>6.1679790026246719</v>
      </c>
      <c r="Z37">
        <f t="shared" si="9"/>
        <v>2</v>
      </c>
      <c r="AB37">
        <f t="shared" si="4"/>
        <v>35</v>
      </c>
      <c r="AC37" t="e">
        <f t="shared" si="2"/>
        <v>#N/A</v>
      </c>
      <c r="AE37" s="57" t="str">
        <f>'Candidate Personal Info (VEF2)'!J1201</f>
        <v/>
      </c>
      <c r="AF37" s="57"/>
      <c r="AI37" s="1"/>
      <c r="AJ37" s="1"/>
    </row>
    <row r="38" spans="1:36" x14ac:dyDescent="0.2">
      <c r="P38">
        <f t="shared" si="8"/>
        <v>37</v>
      </c>
      <c r="V38" s="127">
        <f t="shared" si="5"/>
        <v>1969</v>
      </c>
      <c r="W38" t="s">
        <v>80</v>
      </c>
      <c r="X38">
        <f t="shared" si="6"/>
        <v>190</v>
      </c>
      <c r="Y38" s="59">
        <f t="shared" si="0"/>
        <v>6.2335958005249346</v>
      </c>
      <c r="Z38">
        <f t="shared" si="9"/>
        <v>2.8</v>
      </c>
      <c r="AB38">
        <f t="shared" si="4"/>
        <v>36</v>
      </c>
      <c r="AC38" t="e">
        <f t="shared" si="2"/>
        <v>#N/A</v>
      </c>
      <c r="AE38" s="57" t="str">
        <f>'Candidate Personal Info (VEF2)'!J1236</f>
        <v/>
      </c>
      <c r="AF38" s="57"/>
      <c r="AI38" s="1"/>
      <c r="AJ38" s="1"/>
    </row>
    <row r="39" spans="1:36" x14ac:dyDescent="0.2">
      <c r="A39" s="12" t="s">
        <v>203</v>
      </c>
      <c r="P39">
        <f t="shared" si="8"/>
        <v>38</v>
      </c>
      <c r="V39" s="127">
        <f t="shared" si="5"/>
        <v>1968</v>
      </c>
      <c r="W39" t="s">
        <v>81</v>
      </c>
      <c r="X39">
        <f t="shared" si="6"/>
        <v>192</v>
      </c>
      <c r="Y39" s="59">
        <f t="shared" si="0"/>
        <v>6.2992125984251963</v>
      </c>
      <c r="Z39">
        <f t="shared" si="9"/>
        <v>3.6</v>
      </c>
      <c r="AB39">
        <f t="shared" si="4"/>
        <v>37</v>
      </c>
      <c r="AC39" t="e">
        <f t="shared" si="2"/>
        <v>#N/A</v>
      </c>
      <c r="AE39" s="57" t="str">
        <f>'Candidate Personal Info (VEF2)'!J1271</f>
        <v/>
      </c>
      <c r="AF39" s="57"/>
      <c r="AI39" s="1"/>
      <c r="AJ39" s="1"/>
    </row>
    <row r="40" spans="1:36" x14ac:dyDescent="0.2">
      <c r="A40" s="5">
        <v>1</v>
      </c>
      <c r="B40" s="10" t="s">
        <v>245</v>
      </c>
      <c r="P40">
        <f t="shared" si="8"/>
        <v>39</v>
      </c>
      <c r="V40" s="127">
        <f t="shared" si="5"/>
        <v>1967</v>
      </c>
      <c r="W40" t="s">
        <v>82</v>
      </c>
      <c r="X40">
        <f t="shared" si="6"/>
        <v>194</v>
      </c>
      <c r="Y40" s="59">
        <f t="shared" si="0"/>
        <v>6.364829396325459</v>
      </c>
      <c r="Z40">
        <f t="shared" si="9"/>
        <v>4.4000000000000004</v>
      </c>
      <c r="AB40">
        <f t="shared" si="4"/>
        <v>38</v>
      </c>
      <c r="AC40" t="e">
        <f t="shared" si="2"/>
        <v>#N/A</v>
      </c>
      <c r="AE40" s="57" t="str">
        <f>'Candidate Personal Info (VEF2)'!J1306</f>
        <v/>
      </c>
      <c r="AF40" s="57"/>
      <c r="AI40" s="1"/>
      <c r="AJ40" s="1"/>
    </row>
    <row r="41" spans="1:36" x14ac:dyDescent="0.2">
      <c r="A41" s="5">
        <v>2</v>
      </c>
      <c r="B41" s="10" t="s">
        <v>246</v>
      </c>
      <c r="P41">
        <f t="shared" si="8"/>
        <v>40</v>
      </c>
      <c r="V41" s="127">
        <f t="shared" si="5"/>
        <v>1966</v>
      </c>
      <c r="W41" t="s">
        <v>83</v>
      </c>
      <c r="X41">
        <f t="shared" si="6"/>
        <v>196</v>
      </c>
      <c r="Y41" s="59">
        <f t="shared" si="0"/>
        <v>6.4304461942257225</v>
      </c>
      <c r="Z41">
        <f t="shared" si="9"/>
        <v>5.2</v>
      </c>
      <c r="AB41">
        <f t="shared" si="4"/>
        <v>39</v>
      </c>
      <c r="AC41" t="e">
        <f t="shared" si="2"/>
        <v>#N/A</v>
      </c>
      <c r="AE41" s="57" t="str">
        <f>'Candidate Personal Info (VEF2)'!J1341</f>
        <v/>
      </c>
      <c r="AF41" s="57"/>
      <c r="AI41" s="1"/>
      <c r="AJ41" s="1"/>
    </row>
    <row r="42" spans="1:36" x14ac:dyDescent="0.2">
      <c r="A42" s="5">
        <v>3</v>
      </c>
      <c r="B42" s="10" t="s">
        <v>247</v>
      </c>
      <c r="P42">
        <f t="shared" si="8"/>
        <v>41</v>
      </c>
      <c r="V42" s="127">
        <f t="shared" si="5"/>
        <v>1965</v>
      </c>
      <c r="W42" t="s">
        <v>167</v>
      </c>
      <c r="X42">
        <f t="shared" si="6"/>
        <v>198</v>
      </c>
      <c r="Y42" s="59">
        <f t="shared" si="0"/>
        <v>6.4960629921259843</v>
      </c>
      <c r="Z42">
        <f t="shared" si="9"/>
        <v>6</v>
      </c>
      <c r="AB42">
        <f t="shared" si="4"/>
        <v>40</v>
      </c>
      <c r="AC42" t="e">
        <f t="shared" si="2"/>
        <v>#N/A</v>
      </c>
      <c r="AE42" s="57" t="str">
        <f>'Candidate Personal Info (VEF2)'!J1376</f>
        <v/>
      </c>
      <c r="AF42" s="57"/>
      <c r="AI42" s="1"/>
      <c r="AJ42" s="1"/>
    </row>
    <row r="43" spans="1:36" x14ac:dyDescent="0.2">
      <c r="A43" s="5">
        <v>4</v>
      </c>
      <c r="B43" s="10" t="s">
        <v>248</v>
      </c>
      <c r="P43">
        <f t="shared" si="8"/>
        <v>42</v>
      </c>
      <c r="V43" s="127">
        <f t="shared" si="5"/>
        <v>1964</v>
      </c>
      <c r="AB43">
        <f t="shared" si="4"/>
        <v>41</v>
      </c>
      <c r="AC43" t="e">
        <f t="shared" si="2"/>
        <v>#N/A</v>
      </c>
      <c r="AE43" s="57" t="str">
        <f>'Candidate Personal Info (VEF2)'!J1411</f>
        <v/>
      </c>
      <c r="AF43" s="57"/>
    </row>
    <row r="44" spans="1:36" x14ac:dyDescent="0.2">
      <c r="A44" s="5">
        <v>5</v>
      </c>
      <c r="B44" s="10" t="s">
        <v>249</v>
      </c>
      <c r="P44">
        <f t="shared" si="8"/>
        <v>43</v>
      </c>
      <c r="V44" s="127">
        <f>V43-1</f>
        <v>1963</v>
      </c>
      <c r="AB44">
        <f>AB43+1</f>
        <v>42</v>
      </c>
      <c r="AC44" t="e">
        <f t="shared" si="2"/>
        <v>#N/A</v>
      </c>
      <c r="AE44" s="57" t="str">
        <f>'Candidate Personal Info (VEF2)'!J1446</f>
        <v/>
      </c>
      <c r="AF44" s="57"/>
    </row>
    <row r="45" spans="1:36" x14ac:dyDescent="0.2">
      <c r="A45" s="5">
        <v>6</v>
      </c>
      <c r="B45" s="10" t="s">
        <v>213</v>
      </c>
      <c r="P45">
        <f t="shared" si="8"/>
        <v>44</v>
      </c>
      <c r="V45" s="127">
        <f>V44-1</f>
        <v>1962</v>
      </c>
      <c r="AB45">
        <f t="shared" si="4"/>
        <v>43</v>
      </c>
      <c r="AC45" t="e">
        <f t="shared" si="2"/>
        <v>#N/A</v>
      </c>
      <c r="AE45" s="57" t="str">
        <f>'Candidate Personal Info (VEF2)'!J1481</f>
        <v/>
      </c>
      <c r="AF45" s="57"/>
    </row>
    <row r="46" spans="1:36" x14ac:dyDescent="0.2">
      <c r="P46">
        <f t="shared" si="8"/>
        <v>45</v>
      </c>
      <c r="V46" s="127">
        <f>V45-1</f>
        <v>1961</v>
      </c>
      <c r="AB46">
        <f t="shared" si="4"/>
        <v>44</v>
      </c>
      <c r="AC46" t="e">
        <f t="shared" si="2"/>
        <v>#N/A</v>
      </c>
      <c r="AE46" s="57" t="str">
        <f>'Candidate Personal Info (VEF2)'!J1516</f>
        <v/>
      </c>
      <c r="AF46" s="57"/>
    </row>
    <row r="47" spans="1:36" x14ac:dyDescent="0.2">
      <c r="A47" s="13" t="s">
        <v>214</v>
      </c>
      <c r="P47">
        <f t="shared" si="8"/>
        <v>46</v>
      </c>
      <c r="V47" s="127">
        <f>V46-1</f>
        <v>1960</v>
      </c>
      <c r="AB47">
        <f t="shared" si="4"/>
        <v>45</v>
      </c>
      <c r="AC47" t="e">
        <f t="shared" si="2"/>
        <v>#N/A</v>
      </c>
      <c r="AE47" s="57" t="str">
        <f>'Candidate Personal Info (VEF2)'!J1551</f>
        <v/>
      </c>
      <c r="AF47" s="57"/>
    </row>
    <row r="48" spans="1:36" x14ac:dyDescent="0.2">
      <c r="A48" s="5">
        <v>1</v>
      </c>
      <c r="B48" t="s">
        <v>257</v>
      </c>
      <c r="P48">
        <f t="shared" si="8"/>
        <v>47</v>
      </c>
      <c r="AB48">
        <f t="shared" si="4"/>
        <v>46</v>
      </c>
      <c r="AC48" t="e">
        <f t="shared" si="2"/>
        <v>#N/A</v>
      </c>
      <c r="AE48" s="57" t="str">
        <f>'Candidate Personal Info (VEF2)'!J1586</f>
        <v/>
      </c>
      <c r="AF48" s="57"/>
    </row>
    <row r="49" spans="1:32" x14ac:dyDescent="0.2">
      <c r="A49" s="5">
        <v>2</v>
      </c>
      <c r="B49" t="s">
        <v>258</v>
      </c>
      <c r="P49">
        <f t="shared" si="8"/>
        <v>48</v>
      </c>
      <c r="AB49">
        <f t="shared" si="4"/>
        <v>47</v>
      </c>
      <c r="AC49" t="e">
        <f t="shared" si="2"/>
        <v>#N/A</v>
      </c>
      <c r="AE49" s="57" t="str">
        <f>'Candidate Personal Info (VEF2)'!J1621</f>
        <v/>
      </c>
      <c r="AF49" s="57"/>
    </row>
    <row r="50" spans="1:32" x14ac:dyDescent="0.2">
      <c r="P50">
        <f t="shared" si="8"/>
        <v>49</v>
      </c>
      <c r="AB50">
        <f t="shared" si="4"/>
        <v>48</v>
      </c>
      <c r="AC50" t="e">
        <f t="shared" si="2"/>
        <v>#N/A</v>
      </c>
      <c r="AE50" s="57" t="str">
        <f>'Candidate Personal Info (VEF2)'!J1656</f>
        <v/>
      </c>
      <c r="AF50" s="57"/>
    </row>
    <row r="51" spans="1:32" x14ac:dyDescent="0.2">
      <c r="A51" s="13" t="s">
        <v>195</v>
      </c>
      <c r="P51">
        <f t="shared" si="8"/>
        <v>50</v>
      </c>
      <c r="AB51">
        <f t="shared" si="4"/>
        <v>49</v>
      </c>
      <c r="AC51" t="e">
        <f t="shared" si="2"/>
        <v>#N/A</v>
      </c>
      <c r="AE51" s="57" t="str">
        <f>'Candidate Personal Info (VEF2)'!J1691</f>
        <v/>
      </c>
      <c r="AF51" s="57"/>
    </row>
    <row r="52" spans="1:32" x14ac:dyDescent="0.2">
      <c r="A52" s="1">
        <v>1</v>
      </c>
      <c r="B52" s="2" t="s">
        <v>312</v>
      </c>
      <c r="C52" s="2" t="s">
        <v>3</v>
      </c>
      <c r="P52">
        <f t="shared" si="8"/>
        <v>51</v>
      </c>
      <c r="AB52">
        <f t="shared" si="4"/>
        <v>50</v>
      </c>
      <c r="AC52" t="e">
        <f t="shared" si="2"/>
        <v>#N/A</v>
      </c>
      <c r="AE52" s="57" t="str">
        <f>'Candidate Personal Info (VEF2)'!J1726</f>
        <v/>
      </c>
      <c r="AF52" s="57"/>
    </row>
    <row r="53" spans="1:32" x14ac:dyDescent="0.2">
      <c r="A53" s="1">
        <v>2</v>
      </c>
      <c r="B53" s="2" t="s">
        <v>314</v>
      </c>
      <c r="C53" s="2" t="s">
        <v>12</v>
      </c>
      <c r="P53">
        <f t="shared" si="8"/>
        <v>52</v>
      </c>
      <c r="AB53">
        <f t="shared" si="4"/>
        <v>51</v>
      </c>
      <c r="AC53" t="e">
        <f t="shared" si="2"/>
        <v>#N/A</v>
      </c>
      <c r="AE53" s="57" t="str">
        <f>'Candidate Personal Info (VEF2)'!J1761</f>
        <v/>
      </c>
      <c r="AF53" s="57"/>
    </row>
    <row r="54" spans="1:32" x14ac:dyDescent="0.2">
      <c r="A54" s="1">
        <v>3</v>
      </c>
      <c r="B54" s="2" t="s">
        <v>34</v>
      </c>
      <c r="C54" s="2" t="s">
        <v>285</v>
      </c>
      <c r="P54">
        <f t="shared" si="8"/>
        <v>53</v>
      </c>
      <c r="AB54">
        <f t="shared" si="4"/>
        <v>52</v>
      </c>
      <c r="AC54" t="e">
        <f t="shared" si="2"/>
        <v>#N/A</v>
      </c>
      <c r="AE54" s="57" t="str">
        <f>'Candidate Personal Info (VEF2)'!J1796</f>
        <v/>
      </c>
      <c r="AF54" s="57"/>
    </row>
    <row r="55" spans="1:32" x14ac:dyDescent="0.2">
      <c r="A55" s="1">
        <v>4</v>
      </c>
      <c r="B55" s="5" t="s">
        <v>315</v>
      </c>
      <c r="C55" s="2" t="s">
        <v>230</v>
      </c>
      <c r="P55">
        <f t="shared" si="8"/>
        <v>54</v>
      </c>
      <c r="AB55">
        <f t="shared" si="4"/>
        <v>53</v>
      </c>
      <c r="AC55" t="e">
        <f t="shared" si="2"/>
        <v>#N/A</v>
      </c>
      <c r="AE55" s="57" t="str">
        <f>'Candidate Personal Info (VEF2)'!J1831</f>
        <v/>
      </c>
      <c r="AF55" s="57"/>
    </row>
    <row r="56" spans="1:32" x14ac:dyDescent="0.2">
      <c r="A56" s="1">
        <v>5</v>
      </c>
      <c r="B56" s="5" t="s">
        <v>109</v>
      </c>
      <c r="C56" s="2" t="s">
        <v>231</v>
      </c>
      <c r="P56">
        <f>P55+1</f>
        <v>55</v>
      </c>
      <c r="AB56">
        <f t="shared" si="4"/>
        <v>54</v>
      </c>
      <c r="AC56" t="e">
        <f t="shared" si="2"/>
        <v>#N/A</v>
      </c>
      <c r="AE56" s="57" t="str">
        <f>'Candidate Personal Info (VEF2)'!J1866</f>
        <v/>
      </c>
      <c r="AF56" s="57"/>
    </row>
    <row r="57" spans="1:32" x14ac:dyDescent="0.2">
      <c r="A57" s="1">
        <v>6</v>
      </c>
      <c r="B57" s="5" t="s">
        <v>47</v>
      </c>
      <c r="C57" s="2" t="s">
        <v>20</v>
      </c>
      <c r="P57">
        <f t="shared" si="8"/>
        <v>56</v>
      </c>
      <c r="AB57">
        <f t="shared" si="4"/>
        <v>55</v>
      </c>
      <c r="AC57" t="e">
        <f>VLOOKUP($AE57,$AF$3:$AG$8,2,FALSE)</f>
        <v>#N/A</v>
      </c>
      <c r="AE57" s="57" t="str">
        <f>'Candidate Personal Info (VEF2)'!J1901</f>
        <v/>
      </c>
      <c r="AF57" s="57"/>
    </row>
    <row r="58" spans="1:32" x14ac:dyDescent="0.2">
      <c r="A58" s="1">
        <v>7</v>
      </c>
      <c r="B58" s="5" t="s">
        <v>49</v>
      </c>
      <c r="C58" s="2" t="s">
        <v>21</v>
      </c>
      <c r="P58">
        <f t="shared" si="8"/>
        <v>57</v>
      </c>
      <c r="AB58">
        <f t="shared" si="4"/>
        <v>56</v>
      </c>
      <c r="AC58" t="e">
        <f t="shared" si="2"/>
        <v>#N/A</v>
      </c>
      <c r="AE58" s="57" t="str">
        <f>'Candidate Personal Info (VEF2)'!J1936</f>
        <v/>
      </c>
      <c r="AF58" s="57"/>
    </row>
    <row r="59" spans="1:32" x14ac:dyDescent="0.2">
      <c r="A59" s="1">
        <v>8</v>
      </c>
      <c r="B59" s="5" t="s">
        <v>289</v>
      </c>
      <c r="C59" s="2" t="s">
        <v>143</v>
      </c>
      <c r="P59">
        <f t="shared" si="8"/>
        <v>58</v>
      </c>
      <c r="AB59">
        <f t="shared" si="4"/>
        <v>57</v>
      </c>
      <c r="AC59" t="e">
        <f t="shared" si="2"/>
        <v>#N/A</v>
      </c>
      <c r="AE59" s="57" t="str">
        <f>'Candidate Personal Info (VEF2)'!J1971</f>
        <v/>
      </c>
      <c r="AF59" s="57"/>
    </row>
    <row r="60" spans="1:32" x14ac:dyDescent="0.2">
      <c r="A60" s="1">
        <v>9</v>
      </c>
      <c r="B60" s="5" t="s">
        <v>168</v>
      </c>
      <c r="C60" s="2" t="s">
        <v>143</v>
      </c>
      <c r="P60">
        <f t="shared" si="8"/>
        <v>59</v>
      </c>
      <c r="AB60">
        <f t="shared" si="4"/>
        <v>58</v>
      </c>
      <c r="AC60" t="e">
        <f t="shared" si="2"/>
        <v>#N/A</v>
      </c>
      <c r="AE60" s="57" t="str">
        <f>'Candidate Personal Info (VEF2)'!J2006</f>
        <v/>
      </c>
      <c r="AF60" s="57"/>
    </row>
    <row r="61" spans="1:32" x14ac:dyDescent="0.2">
      <c r="A61" s="1">
        <v>10</v>
      </c>
      <c r="B61" s="5" t="s">
        <v>169</v>
      </c>
      <c r="C61" s="5" t="s">
        <v>272</v>
      </c>
      <c r="P61">
        <f t="shared" si="8"/>
        <v>60</v>
      </c>
      <c r="AB61">
        <f t="shared" si="4"/>
        <v>59</v>
      </c>
      <c r="AC61" t="e">
        <f t="shared" si="2"/>
        <v>#N/A</v>
      </c>
      <c r="AE61" s="57" t="str">
        <f>'Candidate Personal Info (VEF2)'!J2041</f>
        <v/>
      </c>
      <c r="AF61" s="57"/>
    </row>
    <row r="62" spans="1:32" x14ac:dyDescent="0.2">
      <c r="A62" s="1">
        <v>11</v>
      </c>
      <c r="B62" s="5" t="s">
        <v>192</v>
      </c>
      <c r="C62" s="2" t="s">
        <v>273</v>
      </c>
      <c r="AB62">
        <f t="shared" si="4"/>
        <v>60</v>
      </c>
      <c r="AC62" t="e">
        <f t="shared" si="2"/>
        <v>#N/A</v>
      </c>
      <c r="AE62" s="57" t="str">
        <f>'Candidate Personal Info (VEF2)'!J2076</f>
        <v/>
      </c>
      <c r="AF62" s="57"/>
    </row>
    <row r="63" spans="1:32" x14ac:dyDescent="0.2">
      <c r="A63" s="1">
        <v>12</v>
      </c>
      <c r="B63" s="5" t="s">
        <v>91</v>
      </c>
      <c r="C63" s="2" t="s">
        <v>274</v>
      </c>
    </row>
    <row r="64" spans="1:32" x14ac:dyDescent="0.2">
      <c r="A64" s="1">
        <v>13</v>
      </c>
      <c r="B64" s="5" t="s">
        <v>1</v>
      </c>
      <c r="C64" s="2" t="s">
        <v>274</v>
      </c>
    </row>
    <row r="65" spans="1:3" x14ac:dyDescent="0.2">
      <c r="A65" s="6">
        <v>14</v>
      </c>
      <c r="B65" s="7" t="s">
        <v>2</v>
      </c>
      <c r="C65" s="7" t="s">
        <v>274</v>
      </c>
    </row>
    <row r="67" spans="1:3" x14ac:dyDescent="0.2">
      <c r="A67" s="133" t="s">
        <v>291</v>
      </c>
    </row>
    <row r="68" spans="1:3" x14ac:dyDescent="0.2">
      <c r="A68" s="1">
        <v>1</v>
      </c>
      <c r="B68" s="2" t="s">
        <v>312</v>
      </c>
      <c r="C68" s="2" t="s">
        <v>67</v>
      </c>
    </row>
    <row r="69" spans="1:3" x14ac:dyDescent="0.2">
      <c r="A69" s="1">
        <v>2</v>
      </c>
      <c r="B69" s="2" t="s">
        <v>314</v>
      </c>
      <c r="C69" s="2" t="s">
        <v>63</v>
      </c>
    </row>
    <row r="70" spans="1:3" x14ac:dyDescent="0.2">
      <c r="A70" s="1">
        <v>3</v>
      </c>
      <c r="B70" s="2" t="s">
        <v>34</v>
      </c>
      <c r="C70" s="2" t="s">
        <v>64</v>
      </c>
    </row>
    <row r="71" spans="1:3" x14ac:dyDescent="0.2">
      <c r="A71" s="1">
        <v>4</v>
      </c>
      <c r="B71" s="5" t="s">
        <v>315</v>
      </c>
      <c r="C71" s="2" t="s">
        <v>202</v>
      </c>
    </row>
    <row r="72" spans="1:3" x14ac:dyDescent="0.2">
      <c r="A72" s="1">
        <v>5</v>
      </c>
      <c r="B72" s="5" t="s">
        <v>109</v>
      </c>
      <c r="C72" s="2" t="s">
        <v>261</v>
      </c>
    </row>
    <row r="73" spans="1:3" x14ac:dyDescent="0.2">
      <c r="A73" s="1">
        <v>6</v>
      </c>
      <c r="B73" s="5" t="s">
        <v>47</v>
      </c>
      <c r="C73" s="2" t="s">
        <v>262</v>
      </c>
    </row>
    <row r="74" spans="1:3" x14ac:dyDescent="0.2">
      <c r="A74" s="1">
        <v>7</v>
      </c>
      <c r="B74" s="5" t="s">
        <v>49</v>
      </c>
      <c r="C74" s="2" t="s">
        <v>263</v>
      </c>
    </row>
    <row r="75" spans="1:3" x14ac:dyDescent="0.2">
      <c r="A75" s="1">
        <v>8</v>
      </c>
      <c r="B75" s="5" t="s">
        <v>289</v>
      </c>
      <c r="C75" s="2" t="s">
        <v>208</v>
      </c>
    </row>
    <row r="76" spans="1:3" x14ac:dyDescent="0.2">
      <c r="A76" s="1">
        <v>9</v>
      </c>
      <c r="B76" s="5" t="s">
        <v>168</v>
      </c>
      <c r="C76" s="2" t="s">
        <v>208</v>
      </c>
    </row>
    <row r="77" spans="1:3" x14ac:dyDescent="0.2">
      <c r="A77" s="1">
        <v>10</v>
      </c>
      <c r="B77" s="5" t="s">
        <v>169</v>
      </c>
      <c r="C77" s="5" t="s">
        <v>209</v>
      </c>
    </row>
    <row r="78" spans="1:3" x14ac:dyDescent="0.2">
      <c r="A78" s="1">
        <v>11</v>
      </c>
      <c r="B78" s="5" t="s">
        <v>192</v>
      </c>
      <c r="C78" s="2" t="s">
        <v>210</v>
      </c>
    </row>
    <row r="79" spans="1:3" x14ac:dyDescent="0.2">
      <c r="A79" s="1">
        <v>12</v>
      </c>
      <c r="B79" s="5" t="s">
        <v>91</v>
      </c>
      <c r="C79" s="2" t="s">
        <v>211</v>
      </c>
    </row>
    <row r="80" spans="1:3" x14ac:dyDescent="0.2">
      <c r="A80" s="1">
        <v>13</v>
      </c>
      <c r="B80" s="5" t="s">
        <v>1</v>
      </c>
      <c r="C80" s="2" t="s">
        <v>211</v>
      </c>
    </row>
    <row r="81" spans="1:3" x14ac:dyDescent="0.2">
      <c r="A81" s="6">
        <v>14</v>
      </c>
      <c r="B81" s="7" t="s">
        <v>2</v>
      </c>
      <c r="C81" s="7" t="s">
        <v>211</v>
      </c>
    </row>
    <row r="83" spans="1:3" x14ac:dyDescent="0.2">
      <c r="A83" s="130" t="s">
        <v>327</v>
      </c>
    </row>
    <row r="84" spans="1:3" x14ac:dyDescent="0.2">
      <c r="B84" s="5" t="s">
        <v>311</v>
      </c>
    </row>
    <row r="85" spans="1:3" x14ac:dyDescent="0.2">
      <c r="B85" s="5" t="s">
        <v>236</v>
      </c>
    </row>
    <row r="86" spans="1:3" x14ac:dyDescent="0.2">
      <c r="B86" s="5" t="s">
        <v>237</v>
      </c>
    </row>
    <row r="87" spans="1:3" x14ac:dyDescent="0.2">
      <c r="B87" s="5" t="s">
        <v>238</v>
      </c>
    </row>
    <row r="88" spans="1:3" x14ac:dyDescent="0.2">
      <c r="B88" s="5" t="s">
        <v>239</v>
      </c>
    </row>
    <row r="90" spans="1:3" x14ac:dyDescent="0.2">
      <c r="A90" s="36" t="s">
        <v>50</v>
      </c>
    </row>
    <row r="91" spans="1:3" x14ac:dyDescent="0.2">
      <c r="B91" s="60" t="s">
        <v>333</v>
      </c>
    </row>
    <row r="92" spans="1:3" x14ac:dyDescent="0.2">
      <c r="B92" s="60" t="s">
        <v>106</v>
      </c>
    </row>
    <row r="93" spans="1:3" x14ac:dyDescent="0.2">
      <c r="B93" s="60" t="s">
        <v>335</v>
      </c>
    </row>
    <row r="94" spans="1:3" x14ac:dyDescent="0.2">
      <c r="B94" s="60" t="s">
        <v>334</v>
      </c>
    </row>
    <row r="112" spans="1:1" x14ac:dyDescent="0.2">
      <c r="A112" s="9" t="s">
        <v>68</v>
      </c>
    </row>
    <row r="113" spans="1:2" x14ac:dyDescent="0.2">
      <c r="B113" t="s">
        <v>69</v>
      </c>
    </row>
    <row r="114" spans="1:2" x14ac:dyDescent="0.2">
      <c r="B114" t="s">
        <v>70</v>
      </c>
    </row>
    <row r="115" spans="1:2" x14ac:dyDescent="0.2">
      <c r="B115" t="s">
        <v>98</v>
      </c>
    </row>
    <row r="116" spans="1:2" x14ac:dyDescent="0.2">
      <c r="B116" t="s">
        <v>97</v>
      </c>
    </row>
    <row r="117" spans="1:2" x14ac:dyDescent="0.2">
      <c r="B117" t="s">
        <v>71</v>
      </c>
    </row>
    <row r="119" spans="1:2" x14ac:dyDescent="0.2">
      <c r="A119" s="9" t="s">
        <v>176</v>
      </c>
    </row>
    <row r="120" spans="1:2" x14ac:dyDescent="0.2">
      <c r="B120">
        <v>1</v>
      </c>
    </row>
    <row r="121" spans="1:2" x14ac:dyDescent="0.2">
      <c r="B121">
        <v>2</v>
      </c>
    </row>
    <row r="122" spans="1:2" x14ac:dyDescent="0.2">
      <c r="B122">
        <v>3</v>
      </c>
    </row>
    <row r="124" spans="1:2" x14ac:dyDescent="0.2">
      <c r="A124" s="47" t="s">
        <v>11</v>
      </c>
    </row>
    <row r="125" spans="1:2" x14ac:dyDescent="0.2">
      <c r="B125" t="s">
        <v>100</v>
      </c>
    </row>
    <row r="126" spans="1:2" x14ac:dyDescent="0.2">
      <c r="B126" t="s">
        <v>101</v>
      </c>
    </row>
    <row r="127" spans="1:2" x14ac:dyDescent="0.2">
      <c r="B127" t="s">
        <v>102</v>
      </c>
    </row>
    <row r="128" spans="1:2" x14ac:dyDescent="0.2">
      <c r="B128" t="s">
        <v>103</v>
      </c>
    </row>
    <row r="129" spans="1:3" x14ac:dyDescent="0.2">
      <c r="B129" t="s">
        <v>104</v>
      </c>
    </row>
    <row r="130" spans="1:3" x14ac:dyDescent="0.2">
      <c r="B130" t="s">
        <v>36</v>
      </c>
    </row>
    <row r="131" spans="1:3" x14ac:dyDescent="0.2">
      <c r="B131" t="s">
        <v>37</v>
      </c>
    </row>
    <row r="132" spans="1:3" x14ac:dyDescent="0.2">
      <c r="B132" t="s">
        <v>38</v>
      </c>
    </row>
    <row r="133" spans="1:3" x14ac:dyDescent="0.2">
      <c r="B133" t="s">
        <v>39</v>
      </c>
    </row>
    <row r="134" spans="1:3" x14ac:dyDescent="0.2">
      <c r="B134" t="s">
        <v>40</v>
      </c>
    </row>
    <row r="137" spans="1:3" x14ac:dyDescent="0.2">
      <c r="A137" s="47" t="s">
        <v>22</v>
      </c>
    </row>
    <row r="138" spans="1:3" x14ac:dyDescent="0.2">
      <c r="B138" t="s">
        <v>158</v>
      </c>
    </row>
    <row r="139" spans="1:3" x14ac:dyDescent="0.2">
      <c r="B139" t="s">
        <v>159</v>
      </c>
    </row>
    <row r="140" spans="1:3" x14ac:dyDescent="0.2">
      <c r="A140" s="47"/>
      <c r="B140" t="s">
        <v>160</v>
      </c>
    </row>
    <row r="141" spans="1:3" ht="15" x14ac:dyDescent="0.2">
      <c r="B141" s="107"/>
    </row>
    <row r="142" spans="1:3" ht="15" x14ac:dyDescent="0.2">
      <c r="A142" t="s">
        <v>23</v>
      </c>
      <c r="B142" s="107"/>
    </row>
    <row r="143" spans="1:3" x14ac:dyDescent="0.2">
      <c r="B143" s="60">
        <v>2013</v>
      </c>
      <c r="C143" s="115" t="s">
        <v>250</v>
      </c>
    </row>
    <row r="144" spans="1:3" x14ac:dyDescent="0.2">
      <c r="B144" s="60">
        <v>2014</v>
      </c>
      <c r="C144" s="115" t="s">
        <v>251</v>
      </c>
    </row>
    <row r="145" spans="2:3" x14ac:dyDescent="0.2">
      <c r="B145" s="60">
        <v>2015</v>
      </c>
      <c r="C145" s="115" t="s">
        <v>252</v>
      </c>
    </row>
    <row r="146" spans="2:3" x14ac:dyDescent="0.2">
      <c r="B146" s="60">
        <v>2016</v>
      </c>
      <c r="C146" s="115" t="s">
        <v>253</v>
      </c>
    </row>
    <row r="147" spans="2:3" x14ac:dyDescent="0.2">
      <c r="B147" s="60">
        <v>2017</v>
      </c>
      <c r="C147" s="115" t="s">
        <v>254</v>
      </c>
    </row>
    <row r="148" spans="2:3" x14ac:dyDescent="0.2">
      <c r="B148" s="60">
        <v>2018</v>
      </c>
      <c r="C148" s="115" t="s">
        <v>110</v>
      </c>
    </row>
    <row r="149" spans="2:3" x14ac:dyDescent="0.2">
      <c r="B149" s="60">
        <v>2019</v>
      </c>
      <c r="C149" s="115" t="s">
        <v>111</v>
      </c>
    </row>
    <row r="150" spans="2:3" x14ac:dyDescent="0.2">
      <c r="B150" s="60">
        <v>2020</v>
      </c>
      <c r="C150" s="115" t="s">
        <v>115</v>
      </c>
    </row>
    <row r="151" spans="2:3" x14ac:dyDescent="0.2">
      <c r="B151" s="132">
        <v>2021</v>
      </c>
      <c r="C151" s="115" t="s">
        <v>112</v>
      </c>
    </row>
    <row r="152" spans="2:3" x14ac:dyDescent="0.2">
      <c r="B152" s="132">
        <v>2022</v>
      </c>
      <c r="C152" s="115" t="s">
        <v>113</v>
      </c>
    </row>
    <row r="153" spans="2:3" x14ac:dyDescent="0.2">
      <c r="B153" s="132">
        <v>2023</v>
      </c>
      <c r="C153" s="115" t="s">
        <v>7</v>
      </c>
    </row>
    <row r="154" spans="2:3" x14ac:dyDescent="0.2">
      <c r="B154" s="132">
        <v>2024</v>
      </c>
      <c r="C154" s="115" t="s">
        <v>114</v>
      </c>
    </row>
    <row r="155" spans="2:3" x14ac:dyDescent="0.2">
      <c r="B155" s="132">
        <v>2025</v>
      </c>
    </row>
  </sheetData>
  <sheetProtection password="86D3" sheet="1" objects="1" scenarios="1" selectLockedCells="1"/>
  <mergeCells count="1">
    <mergeCell ref="AI11:AJ11"/>
  </mergeCells>
  <phoneticPr fontId="6"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Teacher Summary Sheet</vt:lpstr>
      <vt:lpstr>Candidate Personal Info (VEF2)</vt:lpstr>
      <vt:lpstr>data</vt:lpstr>
      <vt:lpstr>address</vt:lpstr>
      <vt:lpstr>body</vt:lpstr>
      <vt:lpstr>class</vt:lpstr>
      <vt:lpstr>codes</vt:lpstr>
      <vt:lpstr>continuation</vt:lpstr>
      <vt:lpstr>CrCard</vt:lpstr>
      <vt:lpstr>Date</vt:lpstr>
      <vt:lpstr>ExpMth</vt:lpstr>
      <vt:lpstr>ExpYr</vt:lpstr>
      <vt:lpstr>gender</vt:lpstr>
      <vt:lpstr>Height</vt:lpstr>
      <vt:lpstr>level2</vt:lpstr>
      <vt:lpstr>Month</vt:lpstr>
      <vt:lpstr>Province</vt:lpstr>
      <vt:lpstr>Title</vt:lpstr>
      <vt:lpstr>Venue</vt:lpstr>
      <vt:lpstr>Year</vt:lpstr>
      <vt:lpstr>YesNo</vt:lpstr>
    </vt:vector>
  </TitlesOfParts>
  <Company>Royal Academy of Dance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mrichardson</dc:creator>
  <cp:lastModifiedBy>Carolyn Jones</cp:lastModifiedBy>
  <cp:lastPrinted>2015-09-10T18:36:06Z</cp:lastPrinted>
  <dcterms:created xsi:type="dcterms:W3CDTF">2009-10-13T13:01:18Z</dcterms:created>
  <dcterms:modified xsi:type="dcterms:W3CDTF">2019-07-03T19:22:00Z</dcterms:modified>
</cp:coreProperties>
</file>